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codeName="ЭтаКнига"/>
  <mc:AlternateContent xmlns:mc="http://schemas.openxmlformats.org/markup-compatibility/2006">
    <mc:Choice Requires="x15">
      <x15ac:absPath xmlns:x15ac="http://schemas.microsoft.com/office/spreadsheetml/2010/11/ac" url="M:\Department\Продуктовая аналитика\Ипотека\КАЛЬКУЛЯТОРЫ\"/>
    </mc:Choice>
  </mc:AlternateContent>
  <xr:revisionPtr revIDLastSave="0" documentId="13_ncr:1_{86C35384-E1E7-4897-BD9F-90297D0D18E4}" xr6:coauthVersionLast="36" xr6:coauthVersionMax="36" xr10:uidLastSave="{00000000-0000-0000-0000-000000000000}"/>
  <bookViews>
    <workbookView xWindow="0" yWindow="0" windowWidth="28800" windowHeight="12225" tabRatio="804" activeTab="3" xr2:uid="{00000000-000D-0000-FFFF-FFFF00000000}"/>
  </bookViews>
  <sheets>
    <sheet name="Платеж" sheetId="19" r:id="rId1"/>
    <sheet name="График платежей" sheetId="22" r:id="rId2"/>
    <sheet name="График платежей РАБОТОДАТЕЛЬ" sheetId="31" r:id="rId3"/>
    <sheet name="Ипотечный калькулятор" sheetId="1" r:id="rId4"/>
    <sheet name="Семейная ипотека" sheetId="15" state="hidden" r:id="rId5"/>
    <sheet name="Рефин (Семейная)" sheetId="14" state="hidden" r:id="rId6"/>
    <sheet name="Данные калькулятора" sheetId="2" state="hidden" r:id="rId7"/>
    <sheet name="Для автоматизации комментария " sheetId="29" state="hidden" r:id="rId8"/>
    <sheet name="ИТ" sheetId="21" state="hidden" r:id="rId9"/>
    <sheet name="Ипотека с господдержкой" sheetId="10" state="hidden" r:id="rId10"/>
    <sheet name="Новостройка" sheetId="3" state="hidden" r:id="rId11"/>
    <sheet name="Вторичный рынок" sheetId="6" state="hidden" r:id="rId12"/>
    <sheet name="Ипотека на покупку дома" sheetId="16" state="hidden" r:id="rId13"/>
    <sheet name="Рефинансирование" sheetId="8" state="hidden" r:id="rId14"/>
    <sheet name="Рефин с консолидацией и доп ден" sheetId="12" state="hidden" r:id="rId15"/>
    <sheet name="Коммерческая недвижимость" sheetId="30" state="hidden" r:id="rId16"/>
    <sheet name="Кредит под залог недвижимости" sheetId="13" state="hidden" r:id="rId17"/>
  </sheets>
  <definedNames>
    <definedName name="Клиент">'Данные калькулятора'!$C$4:$C$5</definedName>
    <definedName name="Программа">'Данные калькулятора'!$A$4:$A$8</definedName>
    <definedName name="ТипНедв">'Данные калькулятора'!$H$4:$H$5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3" l="1"/>
  <c r="H14" i="13"/>
  <c r="K422" i="29" l="1"/>
  <c r="L422" i="29" s="1"/>
  <c r="K423" i="29"/>
  <c r="L423" i="29" s="1"/>
  <c r="K424" i="29"/>
  <c r="L424" i="29" s="1"/>
  <c r="K425" i="29"/>
  <c r="L425" i="29" s="1"/>
  <c r="K416" i="29"/>
  <c r="L416" i="29" s="1"/>
  <c r="K417" i="29"/>
  <c r="L417" i="29" s="1"/>
  <c r="K418" i="29"/>
  <c r="L418" i="29" s="1"/>
  <c r="K419" i="29"/>
  <c r="L419" i="29" s="1"/>
  <c r="K420" i="29"/>
  <c r="L420" i="29" s="1"/>
  <c r="K421" i="29"/>
  <c r="L421" i="29" s="1"/>
  <c r="J3" i="3"/>
  <c r="K3" i="3"/>
  <c r="L3" i="3"/>
  <c r="H3" i="3"/>
  <c r="H18" i="6" l="1"/>
  <c r="H18" i="30"/>
  <c r="K4" i="29" l="1"/>
  <c r="L4" i="29" s="1"/>
  <c r="K180" i="29"/>
  <c r="L180" i="29" s="1"/>
  <c r="K415" i="29"/>
  <c r="L415" i="29" s="1"/>
  <c r="J4" i="16" l="1"/>
  <c r="J3" i="16"/>
  <c r="G12" i="16"/>
  <c r="K411" i="29" l="1"/>
  <c r="L411" i="29" s="1"/>
  <c r="K333" i="29"/>
  <c r="L333" i="29" s="1"/>
  <c r="K334" i="29"/>
  <c r="L334" i="29" s="1"/>
  <c r="K335" i="29"/>
  <c r="L335" i="29" s="1"/>
  <c r="K336" i="29"/>
  <c r="L336" i="29" s="1"/>
  <c r="K337" i="29"/>
  <c r="L337" i="29" s="1"/>
  <c r="K338" i="29"/>
  <c r="L338" i="29" s="1"/>
  <c r="K339" i="29"/>
  <c r="L339" i="29" s="1"/>
  <c r="K340" i="29"/>
  <c r="L340" i="29" s="1"/>
  <c r="K341" i="29"/>
  <c r="L341" i="29" s="1"/>
  <c r="K342" i="29"/>
  <c r="L342" i="29" s="1"/>
  <c r="K343" i="29"/>
  <c r="L343" i="29" s="1"/>
  <c r="K344" i="29"/>
  <c r="L344" i="29" s="1"/>
  <c r="K345" i="29"/>
  <c r="L345" i="29" s="1"/>
  <c r="K346" i="29"/>
  <c r="L346" i="29" s="1"/>
  <c r="K347" i="29"/>
  <c r="L347" i="29" s="1"/>
  <c r="K348" i="29"/>
  <c r="L348" i="29" s="1"/>
  <c r="K349" i="29"/>
  <c r="L349" i="29" s="1"/>
  <c r="K350" i="29"/>
  <c r="L350" i="29" s="1"/>
  <c r="K351" i="29"/>
  <c r="L351" i="29" s="1"/>
  <c r="K352" i="29"/>
  <c r="L352" i="29" s="1"/>
  <c r="K353" i="29"/>
  <c r="L353" i="29" s="1"/>
  <c r="K354" i="29"/>
  <c r="L354" i="29" s="1"/>
  <c r="K355" i="29"/>
  <c r="L355" i="29" s="1"/>
  <c r="K356" i="29"/>
  <c r="L356" i="29" s="1"/>
  <c r="K357" i="29"/>
  <c r="L357" i="29" s="1"/>
  <c r="K358" i="29"/>
  <c r="L358" i="29" s="1"/>
  <c r="K359" i="29"/>
  <c r="L359" i="29" s="1"/>
  <c r="K360" i="29"/>
  <c r="L360" i="29" s="1"/>
  <c r="K361" i="29"/>
  <c r="L361" i="29" s="1"/>
  <c r="K362" i="29"/>
  <c r="L362" i="29" s="1"/>
  <c r="K363" i="29"/>
  <c r="L363" i="29" s="1"/>
  <c r="K364" i="29"/>
  <c r="L364" i="29" s="1"/>
  <c r="K365" i="29"/>
  <c r="L365" i="29" s="1"/>
  <c r="K366" i="29"/>
  <c r="L366" i="29" s="1"/>
  <c r="K367" i="29"/>
  <c r="L367" i="29" s="1"/>
  <c r="K368" i="29"/>
  <c r="L368" i="29" s="1"/>
  <c r="K369" i="29"/>
  <c r="L369" i="29" s="1"/>
  <c r="K370" i="29"/>
  <c r="L370" i="29" s="1"/>
  <c r="K371" i="29"/>
  <c r="L371" i="29" s="1"/>
  <c r="K372" i="29"/>
  <c r="L372" i="29" s="1"/>
  <c r="K373" i="29"/>
  <c r="L373" i="29" s="1"/>
  <c r="K374" i="29"/>
  <c r="L374" i="29" s="1"/>
  <c r="K375" i="29"/>
  <c r="L375" i="29" s="1"/>
  <c r="K376" i="29"/>
  <c r="L376" i="29" s="1"/>
  <c r="K377" i="29"/>
  <c r="L377" i="29" s="1"/>
  <c r="K378" i="29"/>
  <c r="L378" i="29" s="1"/>
  <c r="K379" i="29"/>
  <c r="L379" i="29" s="1"/>
  <c r="K380" i="29"/>
  <c r="L380" i="29" s="1"/>
  <c r="K381" i="29"/>
  <c r="L381" i="29" s="1"/>
  <c r="K382" i="29"/>
  <c r="L382" i="29" s="1"/>
  <c r="K383" i="29"/>
  <c r="L383" i="29" s="1"/>
  <c r="K384" i="29"/>
  <c r="L384" i="29" s="1"/>
  <c r="K385" i="29"/>
  <c r="L385" i="29" s="1"/>
  <c r="K386" i="29"/>
  <c r="L386" i="29" s="1"/>
  <c r="K387" i="29"/>
  <c r="L387" i="29" s="1"/>
  <c r="K388" i="29"/>
  <c r="L388" i="29" s="1"/>
  <c r="K389" i="29"/>
  <c r="L389" i="29" s="1"/>
  <c r="K390" i="29"/>
  <c r="L390" i="29" s="1"/>
  <c r="K391" i="29"/>
  <c r="L391" i="29" s="1"/>
  <c r="K392" i="29"/>
  <c r="L392" i="29" s="1"/>
  <c r="K393" i="29"/>
  <c r="L393" i="29" s="1"/>
  <c r="K394" i="29"/>
  <c r="L394" i="29" s="1"/>
  <c r="K395" i="29"/>
  <c r="L395" i="29" s="1"/>
  <c r="K396" i="29"/>
  <c r="L396" i="29" s="1"/>
  <c r="K397" i="29"/>
  <c r="L397" i="29" s="1"/>
  <c r="K398" i="29"/>
  <c r="L398" i="29" s="1"/>
  <c r="K399" i="29"/>
  <c r="L399" i="29" s="1"/>
  <c r="K400" i="29"/>
  <c r="L400" i="29" s="1"/>
  <c r="K401" i="29"/>
  <c r="L401" i="29" s="1"/>
  <c r="K402" i="29"/>
  <c r="L402" i="29" s="1"/>
  <c r="K403" i="29"/>
  <c r="L403" i="29" s="1"/>
  <c r="K404" i="29"/>
  <c r="L404" i="29" s="1"/>
  <c r="K405" i="29"/>
  <c r="L405" i="29" s="1"/>
  <c r="K406" i="29"/>
  <c r="L406" i="29" s="1"/>
  <c r="K407" i="29"/>
  <c r="L407" i="29" s="1"/>
  <c r="K408" i="29"/>
  <c r="L408" i="29" s="1"/>
  <c r="K409" i="29"/>
  <c r="L409" i="29" s="1"/>
  <c r="K410" i="29"/>
  <c r="L410" i="29" s="1"/>
  <c r="K412" i="29"/>
  <c r="L412" i="29" s="1"/>
  <c r="K413" i="29"/>
  <c r="L413" i="29" s="1"/>
  <c r="K414" i="29"/>
  <c r="L414" i="29" s="1"/>
  <c r="K296" i="29"/>
  <c r="L296" i="29" s="1"/>
  <c r="K297" i="29"/>
  <c r="L297" i="29" s="1"/>
  <c r="K298" i="29"/>
  <c r="L298" i="29" s="1"/>
  <c r="K299" i="29"/>
  <c r="L299" i="29" s="1"/>
  <c r="K300" i="29"/>
  <c r="L300" i="29" s="1"/>
  <c r="K301" i="29"/>
  <c r="L301" i="29" s="1"/>
  <c r="K302" i="29"/>
  <c r="L302" i="29" s="1"/>
  <c r="K303" i="29"/>
  <c r="L303" i="29" s="1"/>
  <c r="K304" i="29"/>
  <c r="L304" i="29" s="1"/>
  <c r="K305" i="29"/>
  <c r="L305" i="29" s="1"/>
  <c r="K306" i="29"/>
  <c r="L306" i="29" s="1"/>
  <c r="K307" i="29"/>
  <c r="L307" i="29" s="1"/>
  <c r="K308" i="29"/>
  <c r="L308" i="29" s="1"/>
  <c r="K309" i="29"/>
  <c r="L309" i="29" s="1"/>
  <c r="K310" i="29"/>
  <c r="L310" i="29" s="1"/>
  <c r="K311" i="29"/>
  <c r="L311" i="29" s="1"/>
  <c r="K312" i="29"/>
  <c r="L312" i="29" s="1"/>
  <c r="K313" i="29"/>
  <c r="L313" i="29" s="1"/>
  <c r="K314" i="29"/>
  <c r="L314" i="29" s="1"/>
  <c r="K315" i="29"/>
  <c r="L315" i="29" s="1"/>
  <c r="K316" i="29"/>
  <c r="L316" i="29" s="1"/>
  <c r="K317" i="29"/>
  <c r="L317" i="29" s="1"/>
  <c r="K318" i="29"/>
  <c r="L318" i="29" s="1"/>
  <c r="K319" i="29"/>
  <c r="L319" i="29" s="1"/>
  <c r="K320" i="29"/>
  <c r="L320" i="29" s="1"/>
  <c r="K321" i="29"/>
  <c r="L321" i="29" s="1"/>
  <c r="K322" i="29"/>
  <c r="L322" i="29" s="1"/>
  <c r="K323" i="29"/>
  <c r="L323" i="29" s="1"/>
  <c r="K324" i="29"/>
  <c r="L324" i="29" s="1"/>
  <c r="K325" i="29"/>
  <c r="L325" i="29" s="1"/>
  <c r="K326" i="29"/>
  <c r="L326" i="29" s="1"/>
  <c r="K327" i="29"/>
  <c r="L327" i="29" s="1"/>
  <c r="K328" i="29"/>
  <c r="L328" i="29" s="1"/>
  <c r="K329" i="29"/>
  <c r="L329" i="29" s="1"/>
  <c r="K330" i="29"/>
  <c r="L330" i="29" s="1"/>
  <c r="K331" i="29"/>
  <c r="L331" i="29" s="1"/>
  <c r="K332" i="29"/>
  <c r="L332" i="29" s="1"/>
  <c r="K292" i="29"/>
  <c r="L292" i="29" s="1"/>
  <c r="K293" i="29"/>
  <c r="L293" i="29" s="1"/>
  <c r="K294" i="29"/>
  <c r="L294" i="29" s="1"/>
  <c r="K295" i="29"/>
  <c r="L295" i="29" s="1"/>
  <c r="H2" i="15"/>
  <c r="H3" i="15"/>
  <c r="J2" i="15"/>
  <c r="J3" i="15"/>
  <c r="G2" i="15"/>
  <c r="G2" i="14"/>
  <c r="H2" i="14"/>
  <c r="H3" i="14"/>
  <c r="G3" i="14"/>
  <c r="G3" i="15"/>
  <c r="A24" i="2"/>
  <c r="B9" i="1" s="1"/>
  <c r="A25" i="2"/>
  <c r="A21" i="2"/>
  <c r="B3" i="1" s="1"/>
  <c r="E2" i="1"/>
  <c r="G17" i="19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K13" i="31"/>
  <c r="M374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C5" i="31"/>
  <c r="B5" i="31"/>
  <c r="O14" i="31" s="1"/>
  <c r="D34" i="1"/>
  <c r="D35" i="1"/>
  <c r="C33" i="1"/>
  <c r="L2" i="21"/>
  <c r="K2" i="21"/>
  <c r="C13" i="1"/>
  <c r="A17" i="15"/>
  <c r="B1" i="10"/>
  <c r="C11" i="19"/>
  <c r="G5" i="19"/>
  <c r="K6" i="19"/>
  <c r="G6" i="19"/>
  <c r="K4" i="19"/>
  <c r="G4" i="19"/>
  <c r="C10" i="19"/>
  <c r="C14" i="19"/>
  <c r="G10" i="19"/>
  <c r="G14" i="19"/>
  <c r="C17" i="19"/>
  <c r="G11" i="19"/>
  <c r="K11" i="19"/>
  <c r="K10" i="19"/>
  <c r="K14" i="19"/>
  <c r="C18" i="19"/>
  <c r="A23" i="2"/>
  <c r="B6" i="1" s="1"/>
  <c r="K291" i="29"/>
  <c r="L291" i="29" s="1"/>
  <c r="K289" i="29"/>
  <c r="L289" i="29" s="1"/>
  <c r="K290" i="29"/>
  <c r="L290" i="29" s="1"/>
  <c r="K287" i="29"/>
  <c r="L287" i="29" s="1"/>
  <c r="K288" i="29"/>
  <c r="L288" i="29" s="1"/>
  <c r="K286" i="29"/>
  <c r="L286" i="29" s="1"/>
  <c r="K285" i="29"/>
  <c r="L285" i="29" s="1"/>
  <c r="K284" i="29"/>
  <c r="L284" i="29" s="1"/>
  <c r="B29" i="16"/>
  <c r="J5" i="3"/>
  <c r="K5" i="3" s="1"/>
  <c r="L5" i="3" s="1"/>
  <c r="H5" i="3" s="1"/>
  <c r="J4" i="3"/>
  <c r="K4" i="3" s="1"/>
  <c r="L4" i="3" s="1"/>
  <c r="H4" i="3" s="1"/>
  <c r="B30" i="16"/>
  <c r="B28" i="16"/>
  <c r="J4" i="6"/>
  <c r="K4" i="6" s="1"/>
  <c r="L4" i="6" s="1"/>
  <c r="H4" i="6" s="1"/>
  <c r="J3" i="6"/>
  <c r="K3" i="6" s="1"/>
  <c r="L3" i="6" s="1"/>
  <c r="H3" i="6" s="1"/>
  <c r="J2" i="6"/>
  <c r="K2" i="6"/>
  <c r="B28" i="12"/>
  <c r="B27" i="12"/>
  <c r="B26" i="12"/>
  <c r="J4" i="12" s="1"/>
  <c r="K4" i="12" s="1"/>
  <c r="L4" i="12" s="1"/>
  <c r="M4" i="12" s="1"/>
  <c r="B25" i="12"/>
  <c r="J5" i="8"/>
  <c r="K5" i="8" s="1"/>
  <c r="L5" i="8" s="1"/>
  <c r="J4" i="8"/>
  <c r="K4" i="8" s="1"/>
  <c r="L4" i="8" s="1"/>
  <c r="J2" i="10"/>
  <c r="H2" i="10"/>
  <c r="J3" i="10"/>
  <c r="J4" i="10"/>
  <c r="J5" i="10"/>
  <c r="G7" i="10"/>
  <c r="G6" i="10"/>
  <c r="G5" i="10"/>
  <c r="G4" i="10"/>
  <c r="G3" i="10"/>
  <c r="G2" i="10"/>
  <c r="J2" i="21"/>
  <c r="H2" i="21"/>
  <c r="A17" i="2"/>
  <c r="B18" i="2" s="1"/>
  <c r="E14" i="1" s="1"/>
  <c r="K279" i="29"/>
  <c r="L279" i="29" s="1"/>
  <c r="K280" i="29"/>
  <c r="L280" i="29" s="1"/>
  <c r="K281" i="29"/>
  <c r="L281" i="29" s="1"/>
  <c r="K282" i="29"/>
  <c r="L282" i="29" s="1"/>
  <c r="K283" i="29"/>
  <c r="L283" i="29" s="1"/>
  <c r="K261" i="29"/>
  <c r="L261" i="29" s="1"/>
  <c r="K262" i="29"/>
  <c r="L262" i="29" s="1"/>
  <c r="K263" i="29"/>
  <c r="L263" i="29" s="1"/>
  <c r="K264" i="29"/>
  <c r="L264" i="29" s="1"/>
  <c r="K265" i="29"/>
  <c r="L265" i="29" s="1"/>
  <c r="K266" i="29"/>
  <c r="L266" i="29" s="1"/>
  <c r="K267" i="29"/>
  <c r="L267" i="29" s="1"/>
  <c r="K268" i="29"/>
  <c r="L268" i="29" s="1"/>
  <c r="K269" i="29"/>
  <c r="L269" i="29" s="1"/>
  <c r="K270" i="29"/>
  <c r="L270" i="29" s="1"/>
  <c r="K271" i="29"/>
  <c r="L271" i="29" s="1"/>
  <c r="K272" i="29"/>
  <c r="L272" i="29" s="1"/>
  <c r="K273" i="29"/>
  <c r="L273" i="29" s="1"/>
  <c r="K274" i="29"/>
  <c r="L274" i="29" s="1"/>
  <c r="K275" i="29"/>
  <c r="L275" i="29" s="1"/>
  <c r="K276" i="29"/>
  <c r="L276" i="29" s="1"/>
  <c r="K277" i="29"/>
  <c r="L277" i="29" s="1"/>
  <c r="K278" i="29"/>
  <c r="L278" i="29" s="1"/>
  <c r="K257" i="29"/>
  <c r="L257" i="29" s="1"/>
  <c r="K258" i="29"/>
  <c r="L258" i="29" s="1"/>
  <c r="K259" i="29"/>
  <c r="L259" i="29" s="1"/>
  <c r="K260" i="29"/>
  <c r="L260" i="29" s="1"/>
  <c r="K253" i="29"/>
  <c r="L253" i="29" s="1"/>
  <c r="K254" i="29"/>
  <c r="L254" i="29" s="1"/>
  <c r="K255" i="29"/>
  <c r="L255" i="29" s="1"/>
  <c r="K256" i="29"/>
  <c r="L256" i="29" s="1"/>
  <c r="A23" i="10"/>
  <c r="A18" i="14"/>
  <c r="A19" i="21"/>
  <c r="A22" i="2"/>
  <c r="B5" i="1" s="1"/>
  <c r="E4" i="2" s="1"/>
  <c r="K244" i="29"/>
  <c r="L244" i="29" s="1"/>
  <c r="K245" i="29"/>
  <c r="L245" i="29" s="1"/>
  <c r="K246" i="29"/>
  <c r="L246" i="29" s="1"/>
  <c r="K247" i="29"/>
  <c r="L247" i="29" s="1"/>
  <c r="K248" i="29"/>
  <c r="L248" i="29" s="1"/>
  <c r="K249" i="29"/>
  <c r="L249" i="29" s="1"/>
  <c r="K250" i="29"/>
  <c r="L250" i="29" s="1"/>
  <c r="K251" i="29"/>
  <c r="L251" i="29" s="1"/>
  <c r="K252" i="29"/>
  <c r="L252" i="29" s="1"/>
  <c r="K238" i="29"/>
  <c r="L238" i="29" s="1"/>
  <c r="K239" i="29"/>
  <c r="L239" i="29" s="1"/>
  <c r="K240" i="29"/>
  <c r="L240" i="29" s="1"/>
  <c r="K241" i="29"/>
  <c r="L241" i="29" s="1"/>
  <c r="K242" i="29"/>
  <c r="L242" i="29" s="1"/>
  <c r="K243" i="29"/>
  <c r="L243" i="29" s="1"/>
  <c r="K235" i="29"/>
  <c r="L235" i="29" s="1"/>
  <c r="K236" i="29"/>
  <c r="L236" i="29" s="1"/>
  <c r="K237" i="29"/>
  <c r="L237" i="29" s="1"/>
  <c r="K230" i="29"/>
  <c r="L230" i="29" s="1"/>
  <c r="K231" i="29"/>
  <c r="L231" i="29" s="1"/>
  <c r="K232" i="29"/>
  <c r="L232" i="29" s="1"/>
  <c r="K233" i="29"/>
  <c r="L233" i="29" s="1"/>
  <c r="K234" i="29"/>
  <c r="L234" i="29" s="1"/>
  <c r="K229" i="29"/>
  <c r="L229" i="29" s="1"/>
  <c r="K228" i="29"/>
  <c r="L228" i="29" s="1"/>
  <c r="K227" i="29"/>
  <c r="L227" i="29" s="1"/>
  <c r="K225" i="29"/>
  <c r="L225" i="29" s="1"/>
  <c r="K226" i="29"/>
  <c r="L226" i="29" s="1"/>
  <c r="K224" i="29"/>
  <c r="L224" i="29" s="1"/>
  <c r="K223" i="29"/>
  <c r="L223" i="29" s="1"/>
  <c r="K220" i="29"/>
  <c r="L220" i="29" s="1"/>
  <c r="K221" i="29"/>
  <c r="L221" i="29" s="1"/>
  <c r="K222" i="29"/>
  <c r="L222" i="29" s="1"/>
  <c r="K199" i="29"/>
  <c r="L199" i="29" s="1"/>
  <c r="K200" i="29"/>
  <c r="L200" i="29" s="1"/>
  <c r="K201" i="29"/>
  <c r="L201" i="29" s="1"/>
  <c r="K202" i="29"/>
  <c r="L202" i="29" s="1"/>
  <c r="K203" i="29"/>
  <c r="L203" i="29" s="1"/>
  <c r="K204" i="29"/>
  <c r="L204" i="29" s="1"/>
  <c r="K205" i="29"/>
  <c r="L205" i="29" s="1"/>
  <c r="K206" i="29"/>
  <c r="L206" i="29" s="1"/>
  <c r="K207" i="29"/>
  <c r="L207" i="29" s="1"/>
  <c r="K208" i="29"/>
  <c r="L208" i="29" s="1"/>
  <c r="K209" i="29"/>
  <c r="L209" i="29" s="1"/>
  <c r="K210" i="29"/>
  <c r="L210" i="29" s="1"/>
  <c r="K211" i="29"/>
  <c r="L211" i="29" s="1"/>
  <c r="K212" i="29"/>
  <c r="L212" i="29" s="1"/>
  <c r="K213" i="29"/>
  <c r="L213" i="29" s="1"/>
  <c r="K214" i="29"/>
  <c r="L214" i="29" s="1"/>
  <c r="K215" i="29"/>
  <c r="L215" i="29" s="1"/>
  <c r="K216" i="29"/>
  <c r="L216" i="29" s="1"/>
  <c r="K217" i="29"/>
  <c r="L217" i="29" s="1"/>
  <c r="K218" i="29"/>
  <c r="L218" i="29" s="1"/>
  <c r="K219" i="29"/>
  <c r="L219" i="29" s="1"/>
  <c r="K197" i="29"/>
  <c r="L197" i="29" s="1"/>
  <c r="K198" i="29"/>
  <c r="L198" i="29" s="1"/>
  <c r="K192" i="29"/>
  <c r="L192" i="29" s="1"/>
  <c r="K193" i="29"/>
  <c r="L193" i="29" s="1"/>
  <c r="K194" i="29"/>
  <c r="L194" i="29" s="1"/>
  <c r="K195" i="29"/>
  <c r="L195" i="29" s="1"/>
  <c r="K196" i="29"/>
  <c r="L196" i="29" s="1"/>
  <c r="B35" i="2"/>
  <c r="C20" i="1" s="1"/>
  <c r="B34" i="2"/>
  <c r="C17" i="1" s="1"/>
  <c r="H19" i="30"/>
  <c r="G16" i="30"/>
  <c r="H16" i="30"/>
  <c r="B8" i="30"/>
  <c r="B7" i="30"/>
  <c r="B2" i="30"/>
  <c r="G1" i="30"/>
  <c r="G22" i="30" s="1"/>
  <c r="I22" i="30" s="1"/>
  <c r="B1" i="30"/>
  <c r="F17" i="30"/>
  <c r="G3" i="8"/>
  <c r="H3" i="8" s="1"/>
  <c r="B31" i="2"/>
  <c r="C14" i="1" s="1"/>
  <c r="B3" i="30" s="1"/>
  <c r="F2" i="30" s="1"/>
  <c r="B16" i="1"/>
  <c r="B33" i="2"/>
  <c r="C16" i="1" s="1"/>
  <c r="A28" i="2"/>
  <c r="B8" i="1" s="1"/>
  <c r="A27" i="2"/>
  <c r="B39" i="1" s="1"/>
  <c r="A26" i="2"/>
  <c r="B38" i="1" s="1"/>
  <c r="A20" i="2"/>
  <c r="B2" i="1" s="1"/>
  <c r="G26" i="8"/>
  <c r="H26" i="8" s="1"/>
  <c r="G22" i="12"/>
  <c r="H22" i="12" s="1"/>
  <c r="K56" i="29"/>
  <c r="L56" i="29" s="1"/>
  <c r="K85" i="29"/>
  <c r="L85" i="29" s="1"/>
  <c r="D66" i="1"/>
  <c r="C40" i="1"/>
  <c r="D55" i="1"/>
  <c r="K5" i="29"/>
  <c r="L5" i="29" s="1"/>
  <c r="K6" i="29"/>
  <c r="L6" i="29" s="1"/>
  <c r="K7" i="29"/>
  <c r="L7" i="29" s="1"/>
  <c r="K8" i="29"/>
  <c r="L8" i="29" s="1"/>
  <c r="K9" i="29"/>
  <c r="L9" i="29" s="1"/>
  <c r="K10" i="29"/>
  <c r="L10" i="29" s="1"/>
  <c r="K11" i="29"/>
  <c r="L11" i="29" s="1"/>
  <c r="K12" i="29"/>
  <c r="L12" i="29" s="1"/>
  <c r="K13" i="29"/>
  <c r="L13" i="29" s="1"/>
  <c r="K14" i="29"/>
  <c r="L14" i="29" s="1"/>
  <c r="K15" i="29"/>
  <c r="L15" i="29" s="1"/>
  <c r="K16" i="29"/>
  <c r="L16" i="29" s="1"/>
  <c r="K17" i="29"/>
  <c r="L17" i="29" s="1"/>
  <c r="K18" i="29"/>
  <c r="L18" i="29" s="1"/>
  <c r="K19" i="29"/>
  <c r="L19" i="29" s="1"/>
  <c r="K20" i="29"/>
  <c r="L20" i="29" s="1"/>
  <c r="K21" i="29"/>
  <c r="L21" i="29" s="1"/>
  <c r="K22" i="29"/>
  <c r="L22" i="29" s="1"/>
  <c r="K23" i="29"/>
  <c r="L23" i="29" s="1"/>
  <c r="K24" i="29"/>
  <c r="L24" i="29" s="1"/>
  <c r="K25" i="29"/>
  <c r="L25" i="29" s="1"/>
  <c r="K26" i="29"/>
  <c r="L26" i="29" s="1"/>
  <c r="K27" i="29"/>
  <c r="L27" i="29" s="1"/>
  <c r="K28" i="29"/>
  <c r="L28" i="29" s="1"/>
  <c r="K29" i="29"/>
  <c r="L29" i="29" s="1"/>
  <c r="K30" i="29"/>
  <c r="L30" i="29" s="1"/>
  <c r="K31" i="29"/>
  <c r="L31" i="29" s="1"/>
  <c r="K32" i="29"/>
  <c r="L32" i="29" s="1"/>
  <c r="K33" i="29"/>
  <c r="L33" i="29" s="1"/>
  <c r="K34" i="29"/>
  <c r="L34" i="29" s="1"/>
  <c r="K35" i="29"/>
  <c r="L35" i="29" s="1"/>
  <c r="K36" i="29"/>
  <c r="L36" i="29" s="1"/>
  <c r="K37" i="29"/>
  <c r="L37" i="29" s="1"/>
  <c r="K38" i="29"/>
  <c r="L38" i="29" s="1"/>
  <c r="K39" i="29"/>
  <c r="L39" i="29" s="1"/>
  <c r="K40" i="29"/>
  <c r="L40" i="29" s="1"/>
  <c r="K41" i="29"/>
  <c r="L41" i="29" s="1"/>
  <c r="K42" i="29"/>
  <c r="L42" i="29" s="1"/>
  <c r="K43" i="29"/>
  <c r="L43" i="29" s="1"/>
  <c r="K44" i="29"/>
  <c r="L44" i="29" s="1"/>
  <c r="K45" i="29"/>
  <c r="L45" i="29" s="1"/>
  <c r="K46" i="29"/>
  <c r="L46" i="29" s="1"/>
  <c r="K47" i="29"/>
  <c r="L47" i="29" s="1"/>
  <c r="K48" i="29"/>
  <c r="L48" i="29" s="1"/>
  <c r="K49" i="29"/>
  <c r="L49" i="29" s="1"/>
  <c r="K50" i="29"/>
  <c r="L50" i="29" s="1"/>
  <c r="K51" i="29"/>
  <c r="L51" i="29" s="1"/>
  <c r="K52" i="29"/>
  <c r="L52" i="29" s="1"/>
  <c r="K53" i="29"/>
  <c r="L53" i="29" s="1"/>
  <c r="K54" i="29"/>
  <c r="L54" i="29" s="1"/>
  <c r="K55" i="29"/>
  <c r="L55" i="29" s="1"/>
  <c r="K57" i="29"/>
  <c r="L57" i="29" s="1"/>
  <c r="K58" i="29"/>
  <c r="L58" i="29" s="1"/>
  <c r="K59" i="29"/>
  <c r="L59" i="29" s="1"/>
  <c r="K60" i="29"/>
  <c r="L60" i="29" s="1"/>
  <c r="K61" i="29"/>
  <c r="L61" i="29" s="1"/>
  <c r="K62" i="29"/>
  <c r="L62" i="29" s="1"/>
  <c r="K63" i="29"/>
  <c r="L63" i="29" s="1"/>
  <c r="K64" i="29"/>
  <c r="L64" i="29" s="1"/>
  <c r="K65" i="29"/>
  <c r="L65" i="29" s="1"/>
  <c r="K66" i="29"/>
  <c r="L66" i="29" s="1"/>
  <c r="K67" i="29"/>
  <c r="L67" i="29" s="1"/>
  <c r="K68" i="29"/>
  <c r="L68" i="29" s="1"/>
  <c r="K69" i="29"/>
  <c r="L69" i="29" s="1"/>
  <c r="K70" i="29"/>
  <c r="L70" i="29" s="1"/>
  <c r="K71" i="29"/>
  <c r="L71" i="29" s="1"/>
  <c r="K72" i="29"/>
  <c r="L72" i="29" s="1"/>
  <c r="K73" i="29"/>
  <c r="L73" i="29" s="1"/>
  <c r="K74" i="29"/>
  <c r="L74" i="29" s="1"/>
  <c r="K75" i="29"/>
  <c r="L75" i="29" s="1"/>
  <c r="K76" i="29"/>
  <c r="L76" i="29" s="1"/>
  <c r="K77" i="29"/>
  <c r="L77" i="29" s="1"/>
  <c r="K78" i="29"/>
  <c r="L78" i="29" s="1"/>
  <c r="K79" i="29"/>
  <c r="L79" i="29" s="1"/>
  <c r="K80" i="29"/>
  <c r="L80" i="29" s="1"/>
  <c r="K81" i="29"/>
  <c r="L81" i="29" s="1"/>
  <c r="K82" i="29"/>
  <c r="L82" i="29" s="1"/>
  <c r="K83" i="29"/>
  <c r="L83" i="29" s="1"/>
  <c r="K84" i="29"/>
  <c r="L84" i="29" s="1"/>
  <c r="K86" i="29"/>
  <c r="L86" i="29" s="1"/>
  <c r="K87" i="29"/>
  <c r="L87" i="29" s="1"/>
  <c r="K88" i="29"/>
  <c r="L88" i="29" s="1"/>
  <c r="K89" i="29"/>
  <c r="L89" i="29" s="1"/>
  <c r="K90" i="29"/>
  <c r="L90" i="29" s="1"/>
  <c r="K91" i="29"/>
  <c r="L91" i="29" s="1"/>
  <c r="K92" i="29"/>
  <c r="L92" i="29" s="1"/>
  <c r="K93" i="29"/>
  <c r="L93" i="29" s="1"/>
  <c r="K94" i="29"/>
  <c r="L94" i="29" s="1"/>
  <c r="K95" i="29"/>
  <c r="L95" i="29" s="1"/>
  <c r="K96" i="29"/>
  <c r="L96" i="29" s="1"/>
  <c r="K97" i="29"/>
  <c r="L97" i="29" s="1"/>
  <c r="K98" i="29"/>
  <c r="L98" i="29" s="1"/>
  <c r="K99" i="29"/>
  <c r="L99" i="29" s="1"/>
  <c r="K100" i="29"/>
  <c r="L100" i="29" s="1"/>
  <c r="K101" i="29"/>
  <c r="L101" i="29" s="1"/>
  <c r="K102" i="29"/>
  <c r="L102" i="29" s="1"/>
  <c r="K103" i="29"/>
  <c r="L103" i="29" s="1"/>
  <c r="K104" i="29"/>
  <c r="L104" i="29" s="1"/>
  <c r="K105" i="29"/>
  <c r="L105" i="29" s="1"/>
  <c r="K106" i="29"/>
  <c r="L106" i="29" s="1"/>
  <c r="K107" i="29"/>
  <c r="L107" i="29" s="1"/>
  <c r="K108" i="29"/>
  <c r="L108" i="29" s="1"/>
  <c r="K109" i="29"/>
  <c r="L109" i="29" s="1"/>
  <c r="K110" i="29"/>
  <c r="L110" i="29" s="1"/>
  <c r="K111" i="29"/>
  <c r="L111" i="29" s="1"/>
  <c r="K112" i="29"/>
  <c r="L112" i="29" s="1"/>
  <c r="K113" i="29"/>
  <c r="L113" i="29" s="1"/>
  <c r="K114" i="29"/>
  <c r="L114" i="29" s="1"/>
  <c r="K115" i="29"/>
  <c r="L115" i="29" s="1"/>
  <c r="K116" i="29"/>
  <c r="L116" i="29" s="1"/>
  <c r="K117" i="29"/>
  <c r="L117" i="29" s="1"/>
  <c r="K118" i="29"/>
  <c r="L118" i="29" s="1"/>
  <c r="K119" i="29"/>
  <c r="L119" i="29" s="1"/>
  <c r="K120" i="29"/>
  <c r="L120" i="29" s="1"/>
  <c r="K121" i="29"/>
  <c r="L121" i="29" s="1"/>
  <c r="K122" i="29"/>
  <c r="L122" i="29" s="1"/>
  <c r="K123" i="29"/>
  <c r="L123" i="29" s="1"/>
  <c r="K124" i="29"/>
  <c r="L124" i="29" s="1"/>
  <c r="K125" i="29"/>
  <c r="L125" i="29" s="1"/>
  <c r="K126" i="29"/>
  <c r="L126" i="29" s="1"/>
  <c r="K127" i="29"/>
  <c r="L127" i="29" s="1"/>
  <c r="K128" i="29"/>
  <c r="L128" i="29" s="1"/>
  <c r="K129" i="29"/>
  <c r="L129" i="29" s="1"/>
  <c r="K130" i="29"/>
  <c r="L130" i="29" s="1"/>
  <c r="K131" i="29"/>
  <c r="L131" i="29" s="1"/>
  <c r="K132" i="29"/>
  <c r="L132" i="29" s="1"/>
  <c r="K133" i="29"/>
  <c r="L133" i="29" s="1"/>
  <c r="K134" i="29"/>
  <c r="L134" i="29" s="1"/>
  <c r="K135" i="29"/>
  <c r="L135" i="29" s="1"/>
  <c r="K136" i="29"/>
  <c r="L136" i="29" s="1"/>
  <c r="K137" i="29"/>
  <c r="L137" i="29" s="1"/>
  <c r="K138" i="29"/>
  <c r="L138" i="29" s="1"/>
  <c r="K139" i="29"/>
  <c r="L139" i="29" s="1"/>
  <c r="K140" i="29"/>
  <c r="L140" i="29" s="1"/>
  <c r="K141" i="29"/>
  <c r="L141" i="29" s="1"/>
  <c r="K142" i="29"/>
  <c r="L142" i="29" s="1"/>
  <c r="K143" i="29"/>
  <c r="L143" i="29" s="1"/>
  <c r="K144" i="29"/>
  <c r="L144" i="29" s="1"/>
  <c r="K145" i="29"/>
  <c r="L145" i="29" s="1"/>
  <c r="K146" i="29"/>
  <c r="L146" i="29" s="1"/>
  <c r="K147" i="29"/>
  <c r="L147" i="29" s="1"/>
  <c r="K148" i="29"/>
  <c r="L148" i="29" s="1"/>
  <c r="K149" i="29"/>
  <c r="L149" i="29" s="1"/>
  <c r="K150" i="29"/>
  <c r="L150" i="29" s="1"/>
  <c r="K151" i="29"/>
  <c r="L151" i="29" s="1"/>
  <c r="K152" i="29"/>
  <c r="L152" i="29" s="1"/>
  <c r="K153" i="29"/>
  <c r="L153" i="29" s="1"/>
  <c r="K154" i="29"/>
  <c r="L154" i="29" s="1"/>
  <c r="K155" i="29"/>
  <c r="L155" i="29" s="1"/>
  <c r="K156" i="29"/>
  <c r="L156" i="29" s="1"/>
  <c r="K157" i="29"/>
  <c r="L157" i="29" s="1"/>
  <c r="K158" i="29"/>
  <c r="L158" i="29" s="1"/>
  <c r="K159" i="29"/>
  <c r="L159" i="29" s="1"/>
  <c r="K160" i="29"/>
  <c r="L160" i="29" s="1"/>
  <c r="K161" i="29"/>
  <c r="L161" i="29" s="1"/>
  <c r="K162" i="29"/>
  <c r="L162" i="29" s="1"/>
  <c r="K163" i="29"/>
  <c r="L163" i="29" s="1"/>
  <c r="K164" i="29"/>
  <c r="L164" i="29" s="1"/>
  <c r="K165" i="29"/>
  <c r="L165" i="29" s="1"/>
  <c r="K166" i="29"/>
  <c r="L166" i="29" s="1"/>
  <c r="K167" i="29"/>
  <c r="L167" i="29" s="1"/>
  <c r="K168" i="29"/>
  <c r="L168" i="29" s="1"/>
  <c r="K169" i="29"/>
  <c r="L169" i="29" s="1"/>
  <c r="K170" i="29"/>
  <c r="L170" i="29" s="1"/>
  <c r="K171" i="29"/>
  <c r="L171" i="29" s="1"/>
  <c r="K172" i="29"/>
  <c r="L172" i="29" s="1"/>
  <c r="K173" i="29"/>
  <c r="L173" i="29" s="1"/>
  <c r="K174" i="29"/>
  <c r="L174" i="29" s="1"/>
  <c r="K175" i="29"/>
  <c r="L175" i="29" s="1"/>
  <c r="K176" i="29"/>
  <c r="L176" i="29" s="1"/>
  <c r="K177" i="29"/>
  <c r="L177" i="29" s="1"/>
  <c r="K178" i="29"/>
  <c r="L178" i="29" s="1"/>
  <c r="K179" i="29"/>
  <c r="L179" i="29" s="1"/>
  <c r="K181" i="29"/>
  <c r="L181" i="29" s="1"/>
  <c r="K182" i="29"/>
  <c r="L182" i="29" s="1"/>
  <c r="K183" i="29"/>
  <c r="L183" i="29" s="1"/>
  <c r="K184" i="29"/>
  <c r="L184" i="29" s="1"/>
  <c r="K185" i="29"/>
  <c r="L185" i="29" s="1"/>
  <c r="K186" i="29"/>
  <c r="L186" i="29" s="1"/>
  <c r="K187" i="29"/>
  <c r="L187" i="29" s="1"/>
  <c r="K188" i="29"/>
  <c r="L188" i="29" s="1"/>
  <c r="K189" i="29"/>
  <c r="L189" i="29" s="1"/>
  <c r="K190" i="29"/>
  <c r="L190" i="29" s="1"/>
  <c r="K191" i="29"/>
  <c r="L191" i="29" s="1"/>
  <c r="C51" i="1"/>
  <c r="B63" i="1" s="1"/>
  <c r="E4" i="1"/>
  <c r="E5" i="1"/>
  <c r="H3" i="10"/>
  <c r="H4" i="10"/>
  <c r="H5" i="10"/>
  <c r="J6" i="10"/>
  <c r="H6" i="10"/>
  <c r="J7" i="10"/>
  <c r="H7" i="10"/>
  <c r="G1" i="21"/>
  <c r="H1" i="21" s="1"/>
  <c r="H16" i="16"/>
  <c r="H15" i="16"/>
  <c r="H20" i="12"/>
  <c r="H19" i="12"/>
  <c r="H13" i="13"/>
  <c r="H19" i="6"/>
  <c r="H23" i="3"/>
  <c r="H22" i="3"/>
  <c r="H24" i="8"/>
  <c r="H23" i="8"/>
  <c r="L2" i="6"/>
  <c r="H2" i="6"/>
  <c r="C5" i="22"/>
  <c r="B5" i="22"/>
  <c r="G7" i="22" s="1"/>
  <c r="G20" i="21"/>
  <c r="H20" i="21"/>
  <c r="B8" i="21"/>
  <c r="B7" i="21"/>
  <c r="B2" i="21"/>
  <c r="B1" i="21"/>
  <c r="F21" i="21"/>
  <c r="G16" i="6"/>
  <c r="H16" i="6"/>
  <c r="G13" i="16"/>
  <c r="H13" i="16" s="1"/>
  <c r="G1" i="10"/>
  <c r="H1" i="10" s="1"/>
  <c r="G1" i="13"/>
  <c r="H1" i="13" s="1"/>
  <c r="G3" i="12"/>
  <c r="H3" i="12" s="1"/>
  <c r="G2" i="12"/>
  <c r="G1" i="12" s="1"/>
  <c r="B8" i="16"/>
  <c r="B7" i="16"/>
  <c r="F14" i="16" s="1"/>
  <c r="B2" i="16"/>
  <c r="G1" i="16"/>
  <c r="H1" i="16" s="1"/>
  <c r="B1" i="16"/>
  <c r="G16" i="13"/>
  <c r="B8" i="15"/>
  <c r="B7" i="15"/>
  <c r="B2" i="15"/>
  <c r="G1" i="15"/>
  <c r="H1" i="15" s="1"/>
  <c r="B1" i="15"/>
  <c r="B8" i="14"/>
  <c r="B7" i="14"/>
  <c r="B2" i="14"/>
  <c r="G1" i="14"/>
  <c r="H1" i="14" s="1"/>
  <c r="F16" i="15"/>
  <c r="F15" i="14"/>
  <c r="G20" i="3"/>
  <c r="H20" i="3"/>
  <c r="G2" i="8"/>
  <c r="G1" i="8" s="1"/>
  <c r="B5" i="8"/>
  <c r="B13" i="10"/>
  <c r="C39" i="1" s="1"/>
  <c r="B8" i="13"/>
  <c r="B7" i="13"/>
  <c r="B2" i="13"/>
  <c r="B1" i="13"/>
  <c r="B9" i="12"/>
  <c r="B8" i="12"/>
  <c r="B3" i="12"/>
  <c r="B1" i="12"/>
  <c r="B8" i="10"/>
  <c r="B7" i="10"/>
  <c r="B2" i="10"/>
  <c r="F18" i="12"/>
  <c r="F9" i="10"/>
  <c r="B1" i="8"/>
  <c r="B10" i="8"/>
  <c r="B9" i="8"/>
  <c r="B3" i="8"/>
  <c r="B8" i="6"/>
  <c r="B7" i="6"/>
  <c r="B2" i="6"/>
  <c r="G1" i="6"/>
  <c r="H1" i="6" s="1"/>
  <c r="B1" i="6"/>
  <c r="F22" i="8"/>
  <c r="F17" i="6"/>
  <c r="C41" i="1"/>
  <c r="C42" i="1"/>
  <c r="G1" i="3"/>
  <c r="H1" i="3" s="1"/>
  <c r="B8" i="3"/>
  <c r="B7" i="3"/>
  <c r="B2" i="3"/>
  <c r="B1" i="3"/>
  <c r="F21" i="3"/>
  <c r="C24" i="1"/>
  <c r="C43" i="1"/>
  <c r="C44" i="1"/>
  <c r="B24" i="2"/>
  <c r="M4" i="29" a="1"/>
  <c r="M4" i="29" l="1"/>
  <c r="D52" i="1" s="1"/>
  <c r="J5" i="12"/>
  <c r="K5" i="12" s="1"/>
  <c r="L5" i="12" s="1"/>
  <c r="M5" i="12" s="1"/>
  <c r="H5" i="12" s="1"/>
  <c r="K3" i="16"/>
  <c r="H3" i="16" s="1"/>
  <c r="K4" i="16"/>
  <c r="H4" i="16" s="1"/>
  <c r="N14" i="31"/>
  <c r="N15" i="31" s="1"/>
  <c r="O13" i="31"/>
  <c r="P13" i="31" s="1"/>
  <c r="A29" i="2"/>
  <c r="B29" i="2" s="1"/>
  <c r="C10" i="1" s="1"/>
  <c r="B17" i="2"/>
  <c r="E21" i="1" s="1"/>
  <c r="H4" i="8"/>
  <c r="H5" i="8"/>
  <c r="H4" i="12"/>
  <c r="C6" i="2"/>
  <c r="C5" i="2"/>
  <c r="C4" i="2"/>
  <c r="C7" i="2"/>
  <c r="B4" i="15"/>
  <c r="B4" i="16"/>
  <c r="B4" i="30"/>
  <c r="B4" i="3"/>
  <c r="B4" i="13"/>
  <c r="B4" i="21"/>
  <c r="B4" i="14"/>
  <c r="B6" i="8"/>
  <c r="B4" i="10"/>
  <c r="B4" i="6"/>
  <c r="B5" i="12"/>
  <c r="J3" i="30"/>
  <c r="K3" i="30" s="1"/>
  <c r="L3" i="30" s="1"/>
  <c r="H3" i="30" s="1"/>
  <c r="J2" i="30"/>
  <c r="K2" i="30" s="1"/>
  <c r="L2" i="30" s="1"/>
  <c r="H2" i="30" s="1"/>
  <c r="B6" i="30" s="1"/>
  <c r="B10" i="30" s="1"/>
  <c r="B11" i="30" s="1"/>
  <c r="H1" i="30"/>
  <c r="G18" i="13"/>
  <c r="I18" i="13" s="1"/>
  <c r="B4" i="12"/>
  <c r="F4" i="12" s="1"/>
  <c r="B3" i="3"/>
  <c r="F2" i="3" s="1"/>
  <c r="B6" i="3" s="1"/>
  <c r="B10" i="3" s="1"/>
  <c r="B11" i="3" s="1"/>
  <c r="B3" i="21"/>
  <c r="B3" i="6"/>
  <c r="F2" i="6" s="1"/>
  <c r="B3" i="16"/>
  <c r="B3" i="14"/>
  <c r="F2" i="14" s="1"/>
  <c r="B6" i="14" s="1"/>
  <c r="B4" i="8"/>
  <c r="B3" i="15"/>
  <c r="F2" i="15" s="1"/>
  <c r="B6" i="15" s="1"/>
  <c r="B3" i="10"/>
  <c r="F2" i="10" s="1"/>
  <c r="B6" i="10" s="1"/>
  <c r="B3" i="13"/>
  <c r="H16" i="13" s="1"/>
  <c r="G13" i="31"/>
  <c r="Q13" i="31"/>
  <c r="J4" i="13" l="1"/>
  <c r="K4" i="13" s="1"/>
  <c r="L4" i="13" s="1"/>
  <c r="H4" i="13" s="1"/>
  <c r="J3" i="13"/>
  <c r="K3" i="13" s="1"/>
  <c r="L3" i="13" s="1"/>
  <c r="H3" i="13" s="1"/>
  <c r="O15" i="31"/>
  <c r="P15" i="31" s="1"/>
  <c r="P14" i="31"/>
  <c r="B10" i="1"/>
  <c r="B6" i="6"/>
  <c r="B10" i="6" s="1"/>
  <c r="B11" i="6" s="1"/>
  <c r="F2" i="13"/>
  <c r="B6" i="13" s="1"/>
  <c r="F2" i="21"/>
  <c r="B6" i="21" s="1"/>
  <c r="B10" i="21" s="1"/>
  <c r="B11" i="21" s="1"/>
  <c r="B10" i="15"/>
  <c r="K308" i="10"/>
  <c r="L184" i="10"/>
  <c r="M184" i="10" s="1"/>
  <c r="L250" i="10"/>
  <c r="M250" i="10" s="1"/>
  <c r="L268" i="10"/>
  <c r="M268" i="10" s="1"/>
  <c r="K317" i="10"/>
  <c r="L190" i="10"/>
  <c r="M190" i="10" s="1"/>
  <c r="L258" i="10"/>
  <c r="M258" i="10" s="1"/>
  <c r="L316" i="10"/>
  <c r="L187" i="10"/>
  <c r="M187" i="10" s="1"/>
  <c r="L267" i="10"/>
  <c r="M267" i="10" s="1"/>
  <c r="L182" i="10"/>
  <c r="M182" i="10" s="1"/>
  <c r="L308" i="10"/>
  <c r="L193" i="10"/>
  <c r="M193" i="10" s="1"/>
  <c r="L311" i="10"/>
  <c r="L315" i="10"/>
  <c r="L252" i="10"/>
  <c r="M252" i="10" s="1"/>
  <c r="K315" i="10"/>
  <c r="L188" i="10"/>
  <c r="M188" i="10" s="1"/>
  <c r="L256" i="10"/>
  <c r="M256" i="10" s="1"/>
  <c r="L310" i="10"/>
  <c r="L176" i="10"/>
  <c r="M176" i="10" s="1"/>
  <c r="L194" i="10"/>
  <c r="M194" i="10" s="1"/>
  <c r="L262" i="10"/>
  <c r="M262" i="10" s="1"/>
  <c r="K313" i="10"/>
  <c r="L195" i="10"/>
  <c r="M195" i="10" s="1"/>
  <c r="L313" i="10"/>
  <c r="L191" i="10"/>
  <c r="M191" i="10" s="1"/>
  <c r="L317" i="10"/>
  <c r="L247" i="10"/>
  <c r="M247" i="10" s="1"/>
  <c r="L189" i="10"/>
  <c r="M189" i="10" s="1"/>
  <c r="K309" i="10"/>
  <c r="L183" i="10"/>
  <c r="M183" i="10" s="1"/>
  <c r="K310" i="10"/>
  <c r="L174" i="10"/>
  <c r="M174" i="10" s="1"/>
  <c r="L192" i="10"/>
  <c r="M192" i="10" s="1"/>
  <c r="L260" i="10"/>
  <c r="M260" i="10" s="1"/>
  <c r="L314" i="10"/>
  <c r="L181" i="10"/>
  <c r="M181" i="10" s="1"/>
  <c r="L248" i="10"/>
  <c r="M248" i="10" s="1"/>
  <c r="L266" i="10"/>
  <c r="M266" i="10" s="1"/>
  <c r="K311" i="10"/>
  <c r="L249" i="10"/>
  <c r="M249" i="10" s="1"/>
  <c r="K316" i="10"/>
  <c r="L254" i="10"/>
  <c r="M254" i="10" s="1"/>
  <c r="L175" i="10"/>
  <c r="M175" i="10" s="1"/>
  <c r="L257" i="10"/>
  <c r="M257" i="10" s="1"/>
  <c r="L251" i="10"/>
  <c r="M251" i="10" s="1"/>
  <c r="L180" i="10"/>
  <c r="M180" i="10" s="1"/>
  <c r="L255" i="10"/>
  <c r="M255" i="10" s="1"/>
  <c r="K314" i="10"/>
  <c r="K312" i="10"/>
  <c r="L177" i="10"/>
  <c r="M177" i="10" s="1"/>
  <c r="L185" i="10"/>
  <c r="M185" i="10" s="1"/>
  <c r="B10" i="10"/>
  <c r="B11" i="10" s="1"/>
  <c r="L178" i="10"/>
  <c r="M178" i="10" s="1"/>
  <c r="L186" i="10"/>
  <c r="M186" i="10" s="1"/>
  <c r="L259" i="10"/>
  <c r="M259" i="10" s="1"/>
  <c r="L265" i="10"/>
  <c r="M265" i="10" s="1"/>
  <c r="L196" i="10"/>
  <c r="M196" i="10" s="1"/>
  <c r="L253" i="10"/>
  <c r="M253" i="10" s="1"/>
  <c r="L179" i="10"/>
  <c r="M179" i="10" s="1"/>
  <c r="L261" i="10"/>
  <c r="M261" i="10" s="1"/>
  <c r="L309" i="10"/>
  <c r="L264" i="10"/>
  <c r="M264" i="10" s="1"/>
  <c r="L312" i="10"/>
  <c r="L263" i="10"/>
  <c r="M263" i="10" s="1"/>
  <c r="F2" i="16"/>
  <c r="F4" i="8"/>
  <c r="B8" i="8" s="1"/>
  <c r="O16" i="31"/>
  <c r="N16" i="31"/>
  <c r="B10" i="13" l="1"/>
  <c r="B11" i="13" s="1"/>
  <c r="B2" i="8"/>
  <c r="B12" i="8" s="1"/>
  <c r="B13" i="8" s="1"/>
  <c r="B32" i="2"/>
  <c r="B1" i="14"/>
  <c r="B10" i="14" s="1"/>
  <c r="B11" i="14" s="1"/>
  <c r="C64" i="1"/>
  <c r="B2" i="12"/>
  <c r="B6" i="16"/>
  <c r="B10" i="16" s="1"/>
  <c r="B11" i="16" s="1"/>
  <c r="M311" i="10"/>
  <c r="M315" i="10"/>
  <c r="M316" i="10"/>
  <c r="M314" i="10"/>
  <c r="M310" i="10"/>
  <c r="P16" i="31"/>
  <c r="N17" i="31"/>
  <c r="N18" i="31" s="1"/>
  <c r="M317" i="10"/>
  <c r="M308" i="10"/>
  <c r="M313" i="10"/>
  <c r="O17" i="31"/>
  <c r="M312" i="10"/>
  <c r="M309" i="10"/>
  <c r="B11" i="15"/>
  <c r="C15" i="1" l="1"/>
  <c r="B7" i="12"/>
  <c r="B11" i="12" s="1"/>
  <c r="B12" i="12" s="1"/>
  <c r="B39" i="2" s="1"/>
  <c r="C26" i="1" s="1"/>
  <c r="O19" i="31"/>
  <c r="N19" i="31"/>
  <c r="P17" i="31"/>
  <c r="O18" i="31"/>
  <c r="P18" i="31" s="1"/>
  <c r="B37" i="2" l="1"/>
  <c r="C21" i="1" s="1"/>
  <c r="B256" i="31" s="1"/>
  <c r="B38" i="2"/>
  <c r="C25" i="1" s="1"/>
  <c r="C66" i="1" s="1"/>
  <c r="P19" i="31"/>
  <c r="N20" i="31"/>
  <c r="N21" i="31" s="1"/>
  <c r="O20" i="31"/>
  <c r="B92" i="22" l="1"/>
  <c r="B215" i="22"/>
  <c r="B268" i="31"/>
  <c r="B245" i="31"/>
  <c r="B238" i="31"/>
  <c r="B52" i="22"/>
  <c r="B202" i="22"/>
  <c r="B254" i="22"/>
  <c r="B161" i="31"/>
  <c r="B233" i="22"/>
  <c r="B67" i="22"/>
  <c r="B90" i="22"/>
  <c r="B164" i="22"/>
  <c r="B114" i="22"/>
  <c r="B197" i="22"/>
  <c r="B107" i="22"/>
  <c r="B277" i="31"/>
  <c r="B144" i="22"/>
  <c r="B49" i="22"/>
  <c r="B292" i="31"/>
  <c r="B199" i="22"/>
  <c r="B137" i="22"/>
  <c r="B346" i="31"/>
  <c r="B149" i="22"/>
  <c r="B347" i="31"/>
  <c r="B338" i="31"/>
  <c r="B242" i="22"/>
  <c r="B289" i="31"/>
  <c r="B106" i="22"/>
  <c r="B132" i="22"/>
  <c r="B321" i="31"/>
  <c r="B151" i="22"/>
  <c r="B56" i="22"/>
  <c r="B342" i="22"/>
  <c r="B308" i="31"/>
  <c r="B102" i="31"/>
  <c r="B123" i="22"/>
  <c r="B313" i="22"/>
  <c r="B20" i="31"/>
  <c r="B344" i="22"/>
  <c r="B132" i="31"/>
  <c r="B196" i="31"/>
  <c r="B69" i="22"/>
  <c r="B155" i="31"/>
  <c r="B174" i="31"/>
  <c r="B146" i="22"/>
  <c r="B304" i="22"/>
  <c r="B80" i="22"/>
  <c r="B283" i="31"/>
  <c r="B145" i="22"/>
  <c r="B55" i="22"/>
  <c r="B27" i="22"/>
  <c r="B138" i="22"/>
  <c r="B34" i="31"/>
  <c r="B192" i="22"/>
  <c r="B40" i="22"/>
  <c r="B77" i="22"/>
  <c r="B54" i="22"/>
  <c r="B33" i="22"/>
  <c r="B19" i="22"/>
  <c r="B187" i="31"/>
  <c r="B191" i="22"/>
  <c r="B78" i="22"/>
  <c r="B225" i="31"/>
  <c r="B102" i="22"/>
  <c r="B50" i="22"/>
  <c r="B37" i="22"/>
  <c r="B260" i="31"/>
  <c r="B164" i="31"/>
  <c r="B230" i="22"/>
  <c r="B350" i="22"/>
  <c r="B219" i="31"/>
  <c r="B373" i="31"/>
  <c r="B117" i="31"/>
  <c r="B22" i="22"/>
  <c r="B272" i="22"/>
  <c r="B136" i="31"/>
  <c r="B346" i="22"/>
  <c r="B83" i="31"/>
  <c r="B143" i="22"/>
  <c r="B188" i="22"/>
  <c r="B97" i="22"/>
  <c r="B186" i="22"/>
  <c r="B101" i="22"/>
  <c r="B187" i="22"/>
  <c r="B95" i="22"/>
  <c r="B35" i="22"/>
  <c r="B17" i="22"/>
  <c r="B152" i="22"/>
  <c r="B12" i="22"/>
  <c r="B62" i="22"/>
  <c r="B222" i="22"/>
  <c r="B275" i="22"/>
  <c r="B88" i="22"/>
  <c r="B42" i="31"/>
  <c r="B220" i="22"/>
  <c r="B63" i="31"/>
  <c r="B129" i="22"/>
  <c r="B226" i="22"/>
  <c r="B357" i="22"/>
  <c r="B194" i="22"/>
  <c r="B91" i="31"/>
  <c r="B15" i="22"/>
  <c r="B154" i="31"/>
  <c r="B239" i="22"/>
  <c r="B165" i="22"/>
  <c r="B134" i="31"/>
  <c r="B100" i="22"/>
  <c r="B193" i="22"/>
  <c r="B61" i="22"/>
  <c r="B241" i="22"/>
  <c r="B221" i="22"/>
  <c r="B116" i="22"/>
  <c r="B274" i="31"/>
  <c r="B206" i="22"/>
  <c r="B238" i="22"/>
  <c r="B162" i="22"/>
  <c r="B210" i="22"/>
  <c r="B166" i="31"/>
  <c r="B71" i="22"/>
  <c r="B232" i="22"/>
  <c r="B113" i="22"/>
  <c r="B24" i="22"/>
  <c r="B210" i="31"/>
  <c r="B119" i="22"/>
  <c r="B208" i="22"/>
  <c r="B112" i="22"/>
  <c r="B148" i="22"/>
  <c r="B193" i="31"/>
  <c r="B41" i="22"/>
  <c r="B86" i="22"/>
  <c r="B63" i="22"/>
  <c r="B353" i="31"/>
  <c r="B13" i="22"/>
  <c r="B278" i="22"/>
  <c r="B32" i="22"/>
  <c r="B68" i="22"/>
  <c r="B111" i="22"/>
  <c r="B94" i="22"/>
  <c r="B98" i="22"/>
  <c r="B190" i="22"/>
  <c r="B204" i="22"/>
  <c r="B201" i="22"/>
  <c r="B125" i="22"/>
  <c r="B130" i="22"/>
  <c r="B252" i="22"/>
  <c r="B309" i="31"/>
  <c r="B159" i="22"/>
  <c r="B76" i="22"/>
  <c r="B117" i="22"/>
  <c r="B228" i="22"/>
  <c r="B209" i="22"/>
  <c r="B184" i="22"/>
  <c r="B366" i="31"/>
  <c r="B339" i="22"/>
  <c r="B29" i="22"/>
  <c r="B105" i="22"/>
  <c r="B211" i="22"/>
  <c r="B161" i="22"/>
  <c r="B263" i="22"/>
  <c r="B25" i="22"/>
  <c r="B225" i="22"/>
  <c r="B109" i="22"/>
  <c r="B251" i="22"/>
  <c r="B85" i="22"/>
  <c r="B237" i="22"/>
  <c r="B172" i="22"/>
  <c r="B289" i="22"/>
  <c r="B59" i="22"/>
  <c r="B200" i="22"/>
  <c r="B244" i="22"/>
  <c r="B183" i="22"/>
  <c r="B38" i="22"/>
  <c r="B93" i="22"/>
  <c r="B123" i="31"/>
  <c r="B48" i="22"/>
  <c r="B70" i="22"/>
  <c r="B269" i="22"/>
  <c r="B10" i="22"/>
  <c r="B237" i="31"/>
  <c r="B147" i="22"/>
  <c r="B326" i="31"/>
  <c r="B66" i="22"/>
  <c r="B315" i="31"/>
  <c r="B45" i="31"/>
  <c r="B110" i="22"/>
  <c r="B173" i="22"/>
  <c r="B240" i="22"/>
  <c r="B299" i="22"/>
  <c r="B72" i="22"/>
  <c r="B21" i="22"/>
  <c r="B64" i="31"/>
  <c r="B159" i="31"/>
  <c r="B278" i="31"/>
  <c r="B163" i="22"/>
  <c r="B316" i="22"/>
  <c r="B179" i="22"/>
  <c r="B128" i="22"/>
  <c r="B121" i="22"/>
  <c r="B228" i="31"/>
  <c r="B231" i="22"/>
  <c r="B202" i="31"/>
  <c r="B181" i="31"/>
  <c r="B60" i="31"/>
  <c r="B89" i="22"/>
  <c r="B31" i="22"/>
  <c r="B156" i="22"/>
  <c r="B57" i="31"/>
  <c r="B81" i="22"/>
  <c r="B182" i="22"/>
  <c r="B39" i="22"/>
  <c r="B43" i="22"/>
  <c r="B185" i="22"/>
  <c r="B149" i="31"/>
  <c r="B223" i="22"/>
  <c r="B341" i="31"/>
  <c r="B246" i="22"/>
  <c r="B329" i="31"/>
  <c r="B337" i="22"/>
  <c r="B99" i="22"/>
  <c r="B203" i="22"/>
  <c r="B258" i="22"/>
  <c r="B324" i="22"/>
  <c r="B154" i="22"/>
  <c r="B47" i="22"/>
  <c r="B216" i="22"/>
  <c r="B59" i="31"/>
  <c r="B351" i="31"/>
  <c r="B251" i="31"/>
  <c r="B30" i="31"/>
  <c r="B97" i="31"/>
  <c r="B158" i="22"/>
  <c r="B291" i="22"/>
  <c r="B157" i="22"/>
  <c r="B85" i="31"/>
  <c r="B330" i="31"/>
  <c r="B361" i="31"/>
  <c r="B245" i="22"/>
  <c r="B171" i="22"/>
  <c r="B264" i="31"/>
  <c r="B45" i="22"/>
  <c r="B291" i="31"/>
  <c r="B84" i="22"/>
  <c r="B266" i="22"/>
  <c r="B320" i="31"/>
  <c r="B324" i="31"/>
  <c r="B195" i="22"/>
  <c r="B213" i="31"/>
  <c r="B141" i="22"/>
  <c r="B206" i="31"/>
  <c r="B319" i="22"/>
  <c r="B91" i="22"/>
  <c r="B257" i="22"/>
  <c r="B327" i="22"/>
  <c r="B277" i="22"/>
  <c r="B332" i="31"/>
  <c r="B189" i="22"/>
  <c r="B11" i="22"/>
  <c r="B287" i="31"/>
  <c r="B79" i="22"/>
  <c r="B27" i="31"/>
  <c r="B153" i="22"/>
  <c r="B257" i="31"/>
  <c r="B115" i="22"/>
  <c r="B267" i="22"/>
  <c r="B26" i="22"/>
  <c r="B292" i="22"/>
  <c r="B287" i="22"/>
  <c r="B288" i="22"/>
  <c r="B265" i="22"/>
  <c r="B233" i="31"/>
  <c r="B81" i="31"/>
  <c r="B169" i="22"/>
  <c r="B214" i="22"/>
  <c r="B7" i="22"/>
  <c r="E7" i="22" s="1"/>
  <c r="F7" i="22" s="1"/>
  <c r="B329" i="22"/>
  <c r="B44" i="22"/>
  <c r="B14" i="22"/>
  <c r="B280" i="22"/>
  <c r="B223" i="31"/>
  <c r="B42" i="22"/>
  <c r="B9" i="22"/>
  <c r="B133" i="22"/>
  <c r="B205" i="22"/>
  <c r="B265" i="31"/>
  <c r="B67" i="31"/>
  <c r="B39" i="31"/>
  <c r="D64" i="1"/>
  <c r="B315" i="22"/>
  <c r="B124" i="22"/>
  <c r="B235" i="22"/>
  <c r="B247" i="22"/>
  <c r="B61" i="31"/>
  <c r="B64" i="22"/>
  <c r="B224" i="22"/>
  <c r="B259" i="22"/>
  <c r="B129" i="31"/>
  <c r="B283" i="22"/>
  <c r="B178" i="22"/>
  <c r="B170" i="31"/>
  <c r="B140" i="31"/>
  <c r="B305" i="22"/>
  <c r="B52" i="31"/>
  <c r="B365" i="22"/>
  <c r="B221" i="31"/>
  <c r="B23" i="22"/>
  <c r="B170" i="22"/>
  <c r="B370" i="31"/>
  <c r="B33" i="31"/>
  <c r="B196" i="22"/>
  <c r="B127" i="22"/>
  <c r="B363" i="22"/>
  <c r="B347" i="22"/>
  <c r="B120" i="22"/>
  <c r="B297" i="31"/>
  <c r="B108" i="31"/>
  <c r="B297" i="22"/>
  <c r="B104" i="22"/>
  <c r="B340" i="22"/>
  <c r="B234" i="22"/>
  <c r="B122" i="31"/>
  <c r="B126" i="22"/>
  <c r="B57" i="22"/>
  <c r="B351" i="22"/>
  <c r="B326" i="22"/>
  <c r="B301" i="22"/>
  <c r="B28" i="31"/>
  <c r="B100" i="31"/>
  <c r="B16" i="22"/>
  <c r="B322" i="22"/>
  <c r="B303" i="31"/>
  <c r="B168" i="22"/>
  <c r="B207" i="22"/>
  <c r="B150" i="22"/>
  <c r="B111" i="31"/>
  <c r="B307" i="22"/>
  <c r="B195" i="31"/>
  <c r="B142" i="31"/>
  <c r="B166" i="22"/>
  <c r="B60" i="22"/>
  <c r="B201" i="31"/>
  <c r="B162" i="31"/>
  <c r="B259" i="31"/>
  <c r="B367" i="31"/>
  <c r="B227" i="31"/>
  <c r="B253" i="22"/>
  <c r="B317" i="22"/>
  <c r="B133" i="31"/>
  <c r="B364" i="31"/>
  <c r="B108" i="22"/>
  <c r="B145" i="31"/>
  <c r="B261" i="31"/>
  <c r="B236" i="31"/>
  <c r="B285" i="31"/>
  <c r="B30" i="22"/>
  <c r="B354" i="31"/>
  <c r="B49" i="31"/>
  <c r="B261" i="22"/>
  <c r="B169" i="31"/>
  <c r="B15" i="31"/>
  <c r="B323" i="22"/>
  <c r="B28" i="22"/>
  <c r="B250" i="22"/>
  <c r="B323" i="31"/>
  <c r="B264" i="22"/>
  <c r="B306" i="22"/>
  <c r="B236" i="22"/>
  <c r="B349" i="31"/>
  <c r="B148" i="31"/>
  <c r="B76" i="31"/>
  <c r="B75" i="22"/>
  <c r="B293" i="22"/>
  <c r="B239" i="31"/>
  <c r="B335" i="22"/>
  <c r="B298" i="22"/>
  <c r="B234" i="31"/>
  <c r="B16" i="31"/>
  <c r="B253" i="31"/>
  <c r="B71" i="31"/>
  <c r="B38" i="31"/>
  <c r="B181" i="22"/>
  <c r="B78" i="31"/>
  <c r="B174" i="22"/>
  <c r="B359" i="22"/>
  <c r="B118" i="22"/>
  <c r="B177" i="22"/>
  <c r="B295" i="22"/>
  <c r="B198" i="31"/>
  <c r="B256" i="22"/>
  <c r="B135" i="22"/>
  <c r="B217" i="22"/>
  <c r="B180" i="22"/>
  <c r="B73" i="31"/>
  <c r="B134" i="22"/>
  <c r="B296" i="31"/>
  <c r="B82" i="31"/>
  <c r="B288" i="31"/>
  <c r="B338" i="22"/>
  <c r="B8" i="22"/>
  <c r="E8" i="22" s="1"/>
  <c r="B127" i="31"/>
  <c r="B282" i="31"/>
  <c r="B260" i="22"/>
  <c r="B157" i="31"/>
  <c r="B300" i="31"/>
  <c r="B290" i="22"/>
  <c r="B182" i="31"/>
  <c r="B31" i="31"/>
  <c r="B107" i="31"/>
  <c r="B189" i="31"/>
  <c r="B84" i="31"/>
  <c r="B334" i="31"/>
  <c r="B356" i="31"/>
  <c r="B352" i="31"/>
  <c r="B267" i="31"/>
  <c r="B262" i="22"/>
  <c r="B93" i="31"/>
  <c r="B165" i="31"/>
  <c r="B65" i="22"/>
  <c r="B105" i="31"/>
  <c r="B364" i="22"/>
  <c r="B357" i="31"/>
  <c r="B372" i="31"/>
  <c r="B352" i="22"/>
  <c r="B87" i="22"/>
  <c r="B175" i="31"/>
  <c r="B191" i="31"/>
  <c r="B341" i="22"/>
  <c r="B167" i="22"/>
  <c r="B294" i="31"/>
  <c r="B328" i="22"/>
  <c r="B69" i="31"/>
  <c r="B337" i="31"/>
  <c r="B197" i="31"/>
  <c r="B345" i="22"/>
  <c r="B219" i="22"/>
  <c r="B46" i="31"/>
  <c r="B142" i="22"/>
  <c r="B311" i="22"/>
  <c r="B266" i="31"/>
  <c r="B171" i="31"/>
  <c r="B319" i="31"/>
  <c r="B284" i="31"/>
  <c r="B331" i="31"/>
  <c r="B258" i="31"/>
  <c r="B122" i="22"/>
  <c r="B284" i="22"/>
  <c r="B313" i="31"/>
  <c r="B334" i="22"/>
  <c r="B227" i="22"/>
  <c r="B369" i="22"/>
  <c r="B331" i="22"/>
  <c r="B343" i="22"/>
  <c r="B101" i="31"/>
  <c r="B271" i="22"/>
  <c r="B185" i="31"/>
  <c r="B314" i="22"/>
  <c r="B272" i="31"/>
  <c r="B276" i="22"/>
  <c r="B268" i="22"/>
  <c r="B136" i="22"/>
  <c r="B146" i="31"/>
  <c r="B325" i="31"/>
  <c r="B65" i="31"/>
  <c r="B155" i="22"/>
  <c r="B362" i="31"/>
  <c r="B252" i="31"/>
  <c r="B325" i="22"/>
  <c r="B83" i="22"/>
  <c r="B173" i="31"/>
  <c r="B153" i="31"/>
  <c r="B113" i="31"/>
  <c r="B243" i="31"/>
  <c r="B70" i="31"/>
  <c r="B109" i="31"/>
  <c r="B72" i="31"/>
  <c r="B163" i="31"/>
  <c r="B358" i="22"/>
  <c r="B230" i="31"/>
  <c r="B198" i="22"/>
  <c r="B362" i="22"/>
  <c r="B218" i="31"/>
  <c r="B41" i="31"/>
  <c r="B335" i="31"/>
  <c r="B56" i="31"/>
  <c r="B194" i="31"/>
  <c r="B359" i="31"/>
  <c r="B312" i="22"/>
  <c r="B13" i="31"/>
  <c r="E13" i="31" s="1"/>
  <c r="F13" i="31" s="1"/>
  <c r="B213" i="22"/>
  <c r="B320" i="22"/>
  <c r="B184" i="31"/>
  <c r="B214" i="31"/>
  <c r="B294" i="22"/>
  <c r="B14" i="31"/>
  <c r="E14" i="31" s="1"/>
  <c r="B318" i="22"/>
  <c r="B58" i="31"/>
  <c r="B224" i="31"/>
  <c r="B141" i="31"/>
  <c r="B126" i="31"/>
  <c r="B263" i="31"/>
  <c r="B103" i="31"/>
  <c r="B96" i="31"/>
  <c r="B156" i="31"/>
  <c r="B51" i="22"/>
  <c r="B218" i="22"/>
  <c r="B269" i="31"/>
  <c r="B36" i="22"/>
  <c r="B208" i="31"/>
  <c r="B23" i="31"/>
  <c r="B248" i="31"/>
  <c r="B222" i="31"/>
  <c r="B339" i="31"/>
  <c r="B29" i="31"/>
  <c r="B120" i="31"/>
  <c r="B343" i="31"/>
  <c r="B344" i="31"/>
  <c r="B22" i="31"/>
  <c r="B330" i="22"/>
  <c r="B369" i="31"/>
  <c r="B246" i="31"/>
  <c r="B118" i="31"/>
  <c r="B243" i="22"/>
  <c r="B86" i="31"/>
  <c r="B363" i="31"/>
  <c r="B302" i="22"/>
  <c r="B290" i="31"/>
  <c r="B176" i="31"/>
  <c r="B54" i="31"/>
  <c r="B345" i="31"/>
  <c r="B87" i="31"/>
  <c r="B271" i="31"/>
  <c r="B348" i="31"/>
  <c r="B207" i="31"/>
  <c r="B247" i="31"/>
  <c r="B270" i="31"/>
  <c r="B371" i="31"/>
  <c r="B137" i="31"/>
  <c r="B95" i="31"/>
  <c r="B34" i="22"/>
  <c r="B74" i="22"/>
  <c r="B47" i="31"/>
  <c r="B342" i="31"/>
  <c r="B180" i="31"/>
  <c r="B178" i="31"/>
  <c r="B322" i="31"/>
  <c r="B88" i="31"/>
  <c r="B209" i="31"/>
  <c r="B316" i="31"/>
  <c r="B104" i="31"/>
  <c r="B340" i="31"/>
  <c r="B327" i="31"/>
  <c r="B309" i="22"/>
  <c r="B131" i="22"/>
  <c r="B112" i="31"/>
  <c r="B151" i="31"/>
  <c r="B19" i="31"/>
  <c r="B300" i="22"/>
  <c r="B354" i="22"/>
  <c r="B355" i="31"/>
  <c r="B135" i="31"/>
  <c r="B18" i="22"/>
  <c r="B333" i="22"/>
  <c r="B73" i="22"/>
  <c r="B62" i="31"/>
  <c r="B36" i="31"/>
  <c r="B318" i="31"/>
  <c r="B308" i="22"/>
  <c r="B250" i="31"/>
  <c r="B279" i="31"/>
  <c r="B77" i="31"/>
  <c r="B333" i="31"/>
  <c r="B304" i="31"/>
  <c r="B281" i="31"/>
  <c r="B254" i="31"/>
  <c r="B160" i="22"/>
  <c r="B212" i="31"/>
  <c r="B158" i="31"/>
  <c r="B360" i="22"/>
  <c r="B240" i="31"/>
  <c r="B262" i="31"/>
  <c r="B358" i="31"/>
  <c r="B312" i="31"/>
  <c r="B295" i="31"/>
  <c r="B66" i="31"/>
  <c r="B311" i="31"/>
  <c r="B40" i="31"/>
  <c r="B350" i="31"/>
  <c r="B152" i="31"/>
  <c r="B50" i="31"/>
  <c r="B229" i="31"/>
  <c r="B249" i="22"/>
  <c r="B25" i="31"/>
  <c r="B361" i="22"/>
  <c r="B21" i="31"/>
  <c r="B26" i="31"/>
  <c r="B139" i="31"/>
  <c r="B89" i="31"/>
  <c r="B231" i="31"/>
  <c r="B200" i="31"/>
  <c r="B44" i="31"/>
  <c r="B51" i="31"/>
  <c r="B150" i="31"/>
  <c r="B143" i="31"/>
  <c r="B114" i="31"/>
  <c r="B55" i="31"/>
  <c r="B301" i="31"/>
  <c r="B43" i="31"/>
  <c r="B125" i="31"/>
  <c r="B212" i="22"/>
  <c r="B374" i="31"/>
  <c r="B293" i="31"/>
  <c r="B302" i="31"/>
  <c r="B177" i="31"/>
  <c r="B68" i="31"/>
  <c r="B140" i="22"/>
  <c r="B82" i="22"/>
  <c r="B103" i="22"/>
  <c r="B199" i="31"/>
  <c r="B229" i="22"/>
  <c r="B306" i="31"/>
  <c r="B270" i="22"/>
  <c r="B190" i="31"/>
  <c r="B144" i="31"/>
  <c r="B160" i="31"/>
  <c r="B336" i="31"/>
  <c r="B53" i="31"/>
  <c r="B80" i="31"/>
  <c r="B296" i="22"/>
  <c r="B355" i="22"/>
  <c r="B79" i="31"/>
  <c r="B203" i="31"/>
  <c r="B255" i="31"/>
  <c r="B241" i="31"/>
  <c r="B273" i="22"/>
  <c r="B121" i="31"/>
  <c r="B58" i="22"/>
  <c r="B360" i="31"/>
  <c r="B314" i="31"/>
  <c r="B332" i="22"/>
  <c r="B274" i="22"/>
  <c r="B249" i="31"/>
  <c r="B368" i="31"/>
  <c r="B124" i="31"/>
  <c r="B18" i="31"/>
  <c r="B167" i="31"/>
  <c r="B220" i="31"/>
  <c r="B280" i="31"/>
  <c r="B110" i="31"/>
  <c r="B321" i="22"/>
  <c r="B255" i="22"/>
  <c r="B248" i="22"/>
  <c r="B336" i="22"/>
  <c r="B75" i="31"/>
  <c r="B99" i="31"/>
  <c r="B285" i="22"/>
  <c r="B328" i="31"/>
  <c r="B37" i="31"/>
  <c r="B275" i="31"/>
  <c r="B48" i="31"/>
  <c r="B92" i="31"/>
  <c r="B94" i="31"/>
  <c r="B130" i="31"/>
  <c r="B24" i="31"/>
  <c r="B365" i="31"/>
  <c r="B128" i="31"/>
  <c r="B90" i="31"/>
  <c r="B310" i="31"/>
  <c r="B348" i="22"/>
  <c r="B168" i="31"/>
  <c r="B172" i="31"/>
  <c r="B305" i="31"/>
  <c r="B349" i="22"/>
  <c r="B310" i="22"/>
  <c r="B368" i="22"/>
  <c r="B131" i="31"/>
  <c r="B282" i="22"/>
  <c r="B179" i="31"/>
  <c r="B205" i="31"/>
  <c r="B115" i="31"/>
  <c r="B217" i="31"/>
  <c r="B183" i="31"/>
  <c r="B215" i="31"/>
  <c r="B226" i="31"/>
  <c r="B298" i="31"/>
  <c r="B147" i="31"/>
  <c r="B188" i="31"/>
  <c r="B242" i="31"/>
  <c r="B303" i="22"/>
  <c r="B366" i="22"/>
  <c r="B139" i="22"/>
  <c r="B53" i="22"/>
  <c r="B356" i="22"/>
  <c r="B353" i="22"/>
  <c r="B116" i="31"/>
  <c r="B279" i="22"/>
  <c r="B46" i="22"/>
  <c r="B32" i="31"/>
  <c r="B20" i="22"/>
  <c r="B216" i="31"/>
  <c r="B211" i="31"/>
  <c r="B232" i="31"/>
  <c r="B175" i="22"/>
  <c r="B186" i="31"/>
  <c r="B74" i="31"/>
  <c r="B286" i="22"/>
  <c r="B119" i="31"/>
  <c r="C32" i="1"/>
  <c r="C31" i="1" s="1"/>
  <c r="B273" i="31"/>
  <c r="B138" i="31"/>
  <c r="B96" i="22"/>
  <c r="B317" i="31"/>
  <c r="B176" i="22"/>
  <c r="B244" i="31"/>
  <c r="B204" i="31"/>
  <c r="B299" i="31"/>
  <c r="B281" i="22"/>
  <c r="B367" i="22"/>
  <c r="B286" i="31"/>
  <c r="B276" i="31"/>
  <c r="B35" i="31"/>
  <c r="B235" i="31"/>
  <c r="B307" i="31"/>
  <c r="B106" i="31"/>
  <c r="B192" i="31"/>
  <c r="B98" i="31"/>
  <c r="B17" i="31"/>
  <c r="E56" i="1"/>
  <c r="B61" i="1" s="1"/>
  <c r="O21" i="31"/>
  <c r="P21" i="31" s="1"/>
  <c r="N22" i="31"/>
  <c r="O23" i="31" s="1"/>
  <c r="P20" i="31"/>
  <c r="O22" i="31"/>
  <c r="D8" i="22" l="1"/>
  <c r="E9" i="22" s="1"/>
  <c r="D14" i="31"/>
  <c r="D15" i="31" s="1"/>
  <c r="D16" i="31" s="1"/>
  <c r="G16" i="31" s="1"/>
  <c r="N23" i="31"/>
  <c r="P23" i="31" s="1"/>
  <c r="P22" i="31"/>
  <c r="N24" i="31" l="1"/>
  <c r="O25" i="31" s="1"/>
  <c r="G8" i="22"/>
  <c r="F8" i="22"/>
  <c r="D9" i="22"/>
  <c r="F9" i="22" s="1"/>
  <c r="Q15" i="31"/>
  <c r="F14" i="31"/>
  <c r="M14" i="31" s="1"/>
  <c r="K8" i="31" s="1"/>
  <c r="Q14" i="31"/>
  <c r="G14" i="31"/>
  <c r="G15" i="31"/>
  <c r="E16" i="31"/>
  <c r="F16" i="31" s="1"/>
  <c r="M16" i="31" s="1"/>
  <c r="E15" i="31"/>
  <c r="F15" i="31" s="1"/>
  <c r="F5" i="31" s="1"/>
  <c r="E17" i="31"/>
  <c r="D17" i="31"/>
  <c r="E18" i="31" s="1"/>
  <c r="Q16" i="31"/>
  <c r="O24" i="31"/>
  <c r="P24" i="31" l="1"/>
  <c r="N25" i="31"/>
  <c r="P25" i="31" s="1"/>
  <c r="M15" i="31"/>
  <c r="G9" i="22"/>
  <c r="D10" i="22"/>
  <c r="E11" i="22" s="1"/>
  <c r="E10" i="22"/>
  <c r="G17" i="31"/>
  <c r="D18" i="31"/>
  <c r="Q18" i="31" s="1"/>
  <c r="F17" i="31"/>
  <c r="M17" i="31" s="1"/>
  <c r="Q17" i="31"/>
  <c r="O26" i="31" l="1"/>
  <c r="N26" i="31"/>
  <c r="D11" i="22"/>
  <c r="F11" i="22" s="1"/>
  <c r="G10" i="22"/>
  <c r="F10" i="22"/>
  <c r="E19" i="31"/>
  <c r="F18" i="31"/>
  <c r="M18" i="31" s="1"/>
  <c r="G18" i="31"/>
  <c r="D19" i="31"/>
  <c r="E20" i="31" s="1"/>
  <c r="D12" i="22" l="1"/>
  <c r="E13" i="22" s="1"/>
  <c r="P26" i="31"/>
  <c r="O27" i="31"/>
  <c r="N27" i="31"/>
  <c r="G11" i="22"/>
  <c r="E12" i="22"/>
  <c r="F19" i="31"/>
  <c r="M19" i="31" s="1"/>
  <c r="Q19" i="31"/>
  <c r="D20" i="31"/>
  <c r="G19" i="31"/>
  <c r="D13" i="22" l="1"/>
  <c r="E14" i="22" s="1"/>
  <c r="G12" i="22"/>
  <c r="F12" i="22"/>
  <c r="N28" i="31"/>
  <c r="O28" i="31"/>
  <c r="P27" i="31"/>
  <c r="D21" i="31"/>
  <c r="E22" i="31" s="1"/>
  <c r="F20" i="31"/>
  <c r="M20" i="31" s="1"/>
  <c r="Q20" i="31"/>
  <c r="G20" i="31"/>
  <c r="E21" i="31"/>
  <c r="D14" i="22" l="1"/>
  <c r="E15" i="22" s="1"/>
  <c r="G13" i="22"/>
  <c r="F13" i="22"/>
  <c r="N29" i="31"/>
  <c r="P28" i="31"/>
  <c r="O29" i="31"/>
  <c r="F21" i="31"/>
  <c r="M21" i="31" s="1"/>
  <c r="D22" i="31"/>
  <c r="E23" i="31" s="1"/>
  <c r="Q21" i="31"/>
  <c r="G21" i="31"/>
  <c r="D15" i="22" l="1"/>
  <c r="D16" i="22" s="1"/>
  <c r="F14" i="22"/>
  <c r="G14" i="22"/>
  <c r="O30" i="31"/>
  <c r="P29" i="31"/>
  <c r="N30" i="31"/>
  <c r="D23" i="31"/>
  <c r="G23" i="31" s="1"/>
  <c r="F22" i="31"/>
  <c r="M22" i="31" s="1"/>
  <c r="Q22" i="31"/>
  <c r="G22" i="31"/>
  <c r="F15" i="22" l="1"/>
  <c r="D17" i="22"/>
  <c r="G17" i="22" s="1"/>
  <c r="E16" i="22"/>
  <c r="F16" i="22" s="1"/>
  <c r="G15" i="22"/>
  <c r="E17" i="22"/>
  <c r="G16" i="22"/>
  <c r="P30" i="31"/>
  <c r="N31" i="31"/>
  <c r="O31" i="31"/>
  <c r="E24" i="31"/>
  <c r="D24" i="31"/>
  <c r="E25" i="31" s="1"/>
  <c r="F23" i="31"/>
  <c r="M23" i="31" s="1"/>
  <c r="Q23" i="31"/>
  <c r="E18" i="22"/>
  <c r="F17" i="22"/>
  <c r="D18" i="22"/>
  <c r="O32" i="31" l="1"/>
  <c r="N32" i="31"/>
  <c r="P31" i="31"/>
  <c r="Q24" i="31"/>
  <c r="G24" i="31"/>
  <c r="F24" i="31"/>
  <c r="M24" i="31" s="1"/>
  <c r="D25" i="31"/>
  <c r="F25" i="31" s="1"/>
  <c r="M25" i="31" s="1"/>
  <c r="D19" i="22"/>
  <c r="D20" i="22" s="1"/>
  <c r="E21" i="22" s="1"/>
  <c r="F18" i="22"/>
  <c r="G18" i="22"/>
  <c r="E19" i="22"/>
  <c r="P32" i="31" l="1"/>
  <c r="O33" i="31"/>
  <c r="N33" i="31"/>
  <c r="G25" i="31"/>
  <c r="D26" i="31"/>
  <c r="D27" i="31" s="1"/>
  <c r="G27" i="31" s="1"/>
  <c r="E26" i="31"/>
  <c r="Q25" i="31"/>
  <c r="F19" i="22"/>
  <c r="G19" i="22"/>
  <c r="D21" i="22"/>
  <c r="E22" i="22" s="1"/>
  <c r="G20" i="22"/>
  <c r="E20" i="22"/>
  <c r="F20" i="22" s="1"/>
  <c r="P33" i="31" l="1"/>
  <c r="O34" i="31"/>
  <c r="N34" i="31"/>
  <c r="Q26" i="31"/>
  <c r="E28" i="31"/>
  <c r="Q27" i="31"/>
  <c r="D28" i="31"/>
  <c r="F28" i="31" s="1"/>
  <c r="M28" i="31" s="1"/>
  <c r="E27" i="31"/>
  <c r="F27" i="31" s="1"/>
  <c r="M27" i="31" s="1"/>
  <c r="G26" i="31"/>
  <c r="F26" i="31"/>
  <c r="M26" i="31" s="1"/>
  <c r="D22" i="22"/>
  <c r="G21" i="22"/>
  <c r="F21" i="22"/>
  <c r="O35" i="31" l="1"/>
  <c r="P34" i="31"/>
  <c r="N35" i="31"/>
  <c r="D29" i="31"/>
  <c r="E30" i="31" s="1"/>
  <c r="E29" i="31"/>
  <c r="Q28" i="31"/>
  <c r="G28" i="31"/>
  <c r="G22" i="22"/>
  <c r="F22" i="22"/>
  <c r="E23" i="22"/>
  <c r="D23" i="22"/>
  <c r="Q29" i="31" l="1"/>
  <c r="D30" i="31"/>
  <c r="F30" i="31" s="1"/>
  <c r="M30" i="31" s="1"/>
  <c r="G29" i="31"/>
  <c r="O36" i="31"/>
  <c r="P35" i="31"/>
  <c r="N36" i="31"/>
  <c r="N37" i="31" s="1"/>
  <c r="F29" i="31"/>
  <c r="M29" i="31" s="1"/>
  <c r="G23" i="22"/>
  <c r="F23" i="22"/>
  <c r="E24" i="22"/>
  <c r="D24" i="22"/>
  <c r="D31" i="31" l="1"/>
  <c r="D32" i="31" s="1"/>
  <c r="G30" i="31"/>
  <c r="Q30" i="31"/>
  <c r="E31" i="31"/>
  <c r="N38" i="31"/>
  <c r="O37" i="31"/>
  <c r="P37" i="31" s="1"/>
  <c r="P36" i="31"/>
  <c r="O38" i="31"/>
  <c r="G24" i="22"/>
  <c r="E25" i="22"/>
  <c r="F24" i="22"/>
  <c r="D25" i="22"/>
  <c r="F25" i="22" s="1"/>
  <c r="P38" i="31"/>
  <c r="O39" i="31"/>
  <c r="N39" i="31"/>
  <c r="E32" i="31" l="1"/>
  <c r="F32" i="31" s="1"/>
  <c r="M32" i="31" s="1"/>
  <c r="G31" i="31"/>
  <c r="Q31" i="31"/>
  <c r="F31" i="31"/>
  <c r="M31" i="31" s="1"/>
  <c r="G32" i="31"/>
  <c r="Q32" i="31"/>
  <c r="D33" i="31"/>
  <c r="E33" i="31"/>
  <c r="D26" i="22"/>
  <c r="E27" i="22" s="1"/>
  <c r="G25" i="22"/>
  <c r="E26" i="22"/>
  <c r="P39" i="31"/>
  <c r="O40" i="31"/>
  <c r="N40" i="31"/>
  <c r="G33" i="31" l="1"/>
  <c r="F33" i="31"/>
  <c r="M33" i="31" s="1"/>
  <c r="E34" i="31"/>
  <c r="Q33" i="31"/>
  <c r="D34" i="31"/>
  <c r="D27" i="22"/>
  <c r="F27" i="22" s="1"/>
  <c r="F26" i="22"/>
  <c r="G26" i="22"/>
  <c r="P40" i="31"/>
  <c r="O41" i="31"/>
  <c r="N41" i="31"/>
  <c r="F34" i="31" l="1"/>
  <c r="M34" i="31" s="1"/>
  <c r="Q34" i="31"/>
  <c r="E35" i="31"/>
  <c r="D35" i="31"/>
  <c r="G34" i="31"/>
  <c r="G27" i="22"/>
  <c r="D28" i="22"/>
  <c r="E29" i="22" s="1"/>
  <c r="E28" i="22"/>
  <c r="P41" i="31"/>
  <c r="O42" i="31"/>
  <c r="N42" i="31"/>
  <c r="G35" i="31" l="1"/>
  <c r="E36" i="31"/>
  <c r="D36" i="31"/>
  <c r="F35" i="31"/>
  <c r="M35" i="31" s="1"/>
  <c r="Q35" i="31"/>
  <c r="D29" i="22"/>
  <c r="F29" i="22" s="1"/>
  <c r="G28" i="22"/>
  <c r="F28" i="22"/>
  <c r="P42" i="31"/>
  <c r="O43" i="31"/>
  <c r="N43" i="31"/>
  <c r="F36" i="31" l="1"/>
  <c r="M36" i="31" s="1"/>
  <c r="G36" i="31"/>
  <c r="Q36" i="31"/>
  <c r="E37" i="31"/>
  <c r="D37" i="31"/>
  <c r="D30" i="22"/>
  <c r="D31" i="22" s="1"/>
  <c r="E32" i="22" s="1"/>
  <c r="E30" i="22"/>
  <c r="G29" i="22"/>
  <c r="P43" i="31"/>
  <c r="O44" i="31"/>
  <c r="N44" i="31"/>
  <c r="F37" i="31" l="1"/>
  <c r="M37" i="31" s="1"/>
  <c r="G37" i="31"/>
  <c r="Q37" i="31"/>
  <c r="D38" i="31"/>
  <c r="E38" i="31"/>
  <c r="E31" i="22"/>
  <c r="G30" i="22"/>
  <c r="F30" i="22"/>
  <c r="D32" i="22"/>
  <c r="G32" i="22" s="1"/>
  <c r="G31" i="22"/>
  <c r="F31" i="22"/>
  <c r="P44" i="31"/>
  <c r="N45" i="31"/>
  <c r="O45" i="31"/>
  <c r="F38" i="31" l="1"/>
  <c r="M38" i="31" s="1"/>
  <c r="Q38" i="31"/>
  <c r="E39" i="31"/>
  <c r="D39" i="31"/>
  <c r="G38" i="31"/>
  <c r="D33" i="22"/>
  <c r="D34" i="22" s="1"/>
  <c r="E35" i="22" s="1"/>
  <c r="E33" i="22"/>
  <c r="F32" i="22"/>
  <c r="P45" i="31"/>
  <c r="O46" i="31"/>
  <c r="N46" i="31"/>
  <c r="E34" i="22" l="1"/>
  <c r="F34" i="22" s="1"/>
  <c r="G33" i="22"/>
  <c r="E40" i="31"/>
  <c r="G39" i="31"/>
  <c r="F39" i="31"/>
  <c r="M39" i="31" s="1"/>
  <c r="Q39" i="31"/>
  <c r="D40" i="31"/>
  <c r="F33" i="22"/>
  <c r="G34" i="22"/>
  <c r="D35" i="22"/>
  <c r="P46" i="31"/>
  <c r="N47" i="31"/>
  <c r="O47" i="31"/>
  <c r="E41" i="31" l="1"/>
  <c r="Q40" i="31"/>
  <c r="G40" i="31"/>
  <c r="F40" i="31"/>
  <c r="M40" i="31" s="1"/>
  <c r="D41" i="31"/>
  <c r="F35" i="22"/>
  <c r="D36" i="22"/>
  <c r="G35" i="22"/>
  <c r="E36" i="22"/>
  <c r="P47" i="31"/>
  <c r="O48" i="31"/>
  <c r="N48" i="31"/>
  <c r="G41" i="31" l="1"/>
  <c r="D42" i="31"/>
  <c r="F41" i="31"/>
  <c r="M41" i="31" s="1"/>
  <c r="E42" i="31"/>
  <c r="Q41" i="31"/>
  <c r="F36" i="22"/>
  <c r="D37" i="22"/>
  <c r="E38" i="22" s="1"/>
  <c r="E37" i="22"/>
  <c r="G36" i="22"/>
  <c r="P48" i="31"/>
  <c r="N49" i="31"/>
  <c r="O49" i="31"/>
  <c r="G42" i="31" l="1"/>
  <c r="Q42" i="31"/>
  <c r="F42" i="31"/>
  <c r="M42" i="31" s="1"/>
  <c r="E43" i="31"/>
  <c r="D43" i="31"/>
  <c r="D38" i="22"/>
  <c r="F38" i="22" s="1"/>
  <c r="G37" i="22"/>
  <c r="F37" i="22"/>
  <c r="P49" i="31"/>
  <c r="N50" i="31"/>
  <c r="O50" i="31"/>
  <c r="Q43" i="31" l="1"/>
  <c r="G43" i="31"/>
  <c r="F43" i="31"/>
  <c r="M43" i="31" s="1"/>
  <c r="D44" i="31"/>
  <c r="G44" i="31" s="1"/>
  <c r="E44" i="31"/>
  <c r="D39" i="22"/>
  <c r="G39" i="22" s="1"/>
  <c r="G38" i="22"/>
  <c r="E39" i="22"/>
  <c r="P50" i="31"/>
  <c r="N51" i="31"/>
  <c r="O51" i="31"/>
  <c r="E40" i="22" l="1"/>
  <c r="D40" i="22"/>
  <c r="E41" i="22" s="1"/>
  <c r="D45" i="31"/>
  <c r="F44" i="31"/>
  <c r="M44" i="31" s="1"/>
  <c r="Q44" i="31"/>
  <c r="E45" i="31"/>
  <c r="F39" i="22"/>
  <c r="D41" i="22"/>
  <c r="G41" i="22" s="1"/>
  <c r="F40" i="22"/>
  <c r="P51" i="31"/>
  <c r="O52" i="31"/>
  <c r="N52" i="31"/>
  <c r="G40" i="22" l="1"/>
  <c r="G45" i="31"/>
  <c r="F45" i="31"/>
  <c r="M45" i="31" s="1"/>
  <c r="Q45" i="31"/>
  <c r="D46" i="31"/>
  <c r="E46" i="31"/>
  <c r="E42" i="22"/>
  <c r="F41" i="22"/>
  <c r="D42" i="22"/>
  <c r="E43" i="22" s="1"/>
  <c r="P52" i="31"/>
  <c r="N53" i="31"/>
  <c r="O53" i="31"/>
  <c r="G46" i="31" l="1"/>
  <c r="D47" i="31"/>
  <c r="Q46" i="31"/>
  <c r="F46" i="31"/>
  <c r="M46" i="31" s="1"/>
  <c r="E47" i="31"/>
  <c r="F42" i="22"/>
  <c r="G42" i="22"/>
  <c r="D43" i="22"/>
  <c r="P53" i="31"/>
  <c r="O54" i="31"/>
  <c r="N54" i="31"/>
  <c r="E48" i="31" l="1"/>
  <c r="D48" i="31"/>
  <c r="F47" i="31"/>
  <c r="M47" i="31" s="1"/>
  <c r="Q47" i="31"/>
  <c r="G47" i="31"/>
  <c r="F43" i="22"/>
  <c r="D44" i="22"/>
  <c r="G43" i="22"/>
  <c r="E44" i="22"/>
  <c r="P54" i="31"/>
  <c r="N55" i="31"/>
  <c r="O55" i="31"/>
  <c r="E49" i="31" l="1"/>
  <c r="F48" i="31"/>
  <c r="M48" i="31" s="1"/>
  <c r="D49" i="31"/>
  <c r="Q48" i="31"/>
  <c r="G48" i="31"/>
  <c r="F44" i="22"/>
  <c r="G44" i="22"/>
  <c r="E45" i="22"/>
  <c r="D45" i="22"/>
  <c r="P55" i="31"/>
  <c r="N56" i="31"/>
  <c r="O56" i="31"/>
  <c r="D50" i="31" l="1"/>
  <c r="F49" i="31"/>
  <c r="M49" i="31" s="1"/>
  <c r="Q49" i="31"/>
  <c r="G49" i="31"/>
  <c r="E50" i="31"/>
  <c r="F45" i="22"/>
  <c r="G45" i="22"/>
  <c r="D46" i="22"/>
  <c r="E46" i="22"/>
  <c r="P56" i="31"/>
  <c r="N57" i="31"/>
  <c r="O57" i="31"/>
  <c r="F46" i="22" l="1"/>
  <c r="G50" i="31"/>
  <c r="Q50" i="31"/>
  <c r="F50" i="31"/>
  <c r="M50" i="31" s="1"/>
  <c r="E51" i="31"/>
  <c r="D51" i="31"/>
  <c r="G46" i="22"/>
  <c r="D47" i="22"/>
  <c r="E48" i="22" s="1"/>
  <c r="E47" i="22"/>
  <c r="P57" i="31"/>
  <c r="O58" i="31"/>
  <c r="N58" i="31"/>
  <c r="Q51" i="31" l="1"/>
  <c r="F51" i="31"/>
  <c r="M51" i="31" s="1"/>
  <c r="E52" i="31"/>
  <c r="G51" i="31"/>
  <c r="D52" i="31"/>
  <c r="F47" i="22"/>
  <c r="G47" i="22"/>
  <c r="D48" i="22"/>
  <c r="P58" i="31"/>
  <c r="N59" i="31"/>
  <c r="O59" i="31"/>
  <c r="F52" i="31" l="1"/>
  <c r="M52" i="31" s="1"/>
  <c r="G52" i="31"/>
  <c r="E53" i="31"/>
  <c r="D53" i="31"/>
  <c r="Q52" i="31"/>
  <c r="F48" i="22"/>
  <c r="D49" i="22"/>
  <c r="G49" i="22" s="1"/>
  <c r="E49" i="22"/>
  <c r="G48" i="22"/>
  <c r="P59" i="31"/>
  <c r="O60" i="31"/>
  <c r="N60" i="31"/>
  <c r="D54" i="31" l="1"/>
  <c r="F53" i="31"/>
  <c r="M53" i="31" s="1"/>
  <c r="E54" i="31"/>
  <c r="Q53" i="31"/>
  <c r="G53" i="31"/>
  <c r="F49" i="22"/>
  <c r="D50" i="22"/>
  <c r="E50" i="22"/>
  <c r="P60" i="31"/>
  <c r="O61" i="31"/>
  <c r="N61" i="31"/>
  <c r="E55" i="31" l="1"/>
  <c r="G54" i="31"/>
  <c r="D55" i="31"/>
  <c r="F54" i="31"/>
  <c r="M54" i="31" s="1"/>
  <c r="Q54" i="31"/>
  <c r="F50" i="22"/>
  <c r="D51" i="22"/>
  <c r="G51" i="22" s="1"/>
  <c r="G50" i="22"/>
  <c r="E51" i="22"/>
  <c r="P61" i="31"/>
  <c r="N62" i="31"/>
  <c r="O62" i="31"/>
  <c r="F55" i="31" l="1"/>
  <c r="M55" i="31" s="1"/>
  <c r="D56" i="31"/>
  <c r="E56" i="31"/>
  <c r="Q55" i="31"/>
  <c r="G55" i="31"/>
  <c r="F51" i="22"/>
  <c r="D52" i="22"/>
  <c r="D53" i="22" s="1"/>
  <c r="E52" i="22"/>
  <c r="P62" i="31"/>
  <c r="N63" i="31"/>
  <c r="O63" i="31"/>
  <c r="D57" i="31" l="1"/>
  <c r="F56" i="31"/>
  <c r="M56" i="31" s="1"/>
  <c r="E57" i="31"/>
  <c r="Q56" i="31"/>
  <c r="G56" i="31"/>
  <c r="E54" i="22"/>
  <c r="G52" i="22"/>
  <c r="F52" i="22"/>
  <c r="D54" i="22"/>
  <c r="F54" i="22" s="1"/>
  <c r="G53" i="22"/>
  <c r="E53" i="22"/>
  <c r="F53" i="22" s="1"/>
  <c r="P63" i="31"/>
  <c r="N64" i="31"/>
  <c r="O64" i="31"/>
  <c r="D58" i="31" l="1"/>
  <c r="F57" i="31"/>
  <c r="M57" i="31" s="1"/>
  <c r="E58" i="31"/>
  <c r="G57" i="31"/>
  <c r="Q57" i="31"/>
  <c r="E55" i="22"/>
  <c r="D55" i="22"/>
  <c r="G54" i="22"/>
  <c r="P64" i="31"/>
  <c r="N65" i="31"/>
  <c r="O65" i="31"/>
  <c r="G58" i="31" l="1"/>
  <c r="E59" i="31"/>
  <c r="F58" i="31"/>
  <c r="M58" i="31" s="1"/>
  <c r="Q58" i="31"/>
  <c r="D59" i="31"/>
  <c r="F55" i="22"/>
  <c r="G55" i="22"/>
  <c r="E56" i="22"/>
  <c r="D56" i="22"/>
  <c r="P65" i="31"/>
  <c r="N66" i="31"/>
  <c r="O66" i="31"/>
  <c r="F59" i="31" l="1"/>
  <c r="M59" i="31" s="1"/>
  <c r="E60" i="31"/>
  <c r="G59" i="31"/>
  <c r="D60" i="31"/>
  <c r="Q60" i="31" s="1"/>
  <c r="Q59" i="31"/>
  <c r="F56" i="22"/>
  <c r="D57" i="22"/>
  <c r="E57" i="22"/>
  <c r="G56" i="22"/>
  <c r="P66" i="31"/>
  <c r="N67" i="31"/>
  <c r="O67" i="31"/>
  <c r="G60" i="31" l="1"/>
  <c r="F60" i="31"/>
  <c r="M60" i="31" s="1"/>
  <c r="D61" i="31"/>
  <c r="E61" i="31"/>
  <c r="D58" i="22"/>
  <c r="F57" i="22"/>
  <c r="E58" i="22"/>
  <c r="G57" i="22"/>
  <c r="P67" i="31"/>
  <c r="N68" i="31"/>
  <c r="O68" i="31"/>
  <c r="F61" i="31" l="1"/>
  <c r="M61" i="31" s="1"/>
  <c r="E62" i="31"/>
  <c r="G61" i="31"/>
  <c r="D62" i="31"/>
  <c r="Q61" i="31"/>
  <c r="F58" i="22"/>
  <c r="G58" i="22"/>
  <c r="E59" i="22"/>
  <c r="D59" i="22"/>
  <c r="P68" i="31"/>
  <c r="O69" i="31"/>
  <c r="N69" i="31"/>
  <c r="F62" i="31" l="1"/>
  <c r="M62" i="31" s="1"/>
  <c r="Q62" i="31"/>
  <c r="E63" i="31"/>
  <c r="D63" i="31"/>
  <c r="G62" i="31"/>
  <c r="D60" i="22"/>
  <c r="E60" i="22"/>
  <c r="F59" i="22"/>
  <c r="G59" i="22"/>
  <c r="P69" i="31"/>
  <c r="O70" i="31"/>
  <c r="N70" i="31"/>
  <c r="D64" i="31" l="1"/>
  <c r="G63" i="31"/>
  <c r="Q63" i="31"/>
  <c r="F63" i="31"/>
  <c r="M63" i="31" s="1"/>
  <c r="E64" i="31"/>
  <c r="G60" i="22"/>
  <c r="E61" i="22"/>
  <c r="F60" i="22"/>
  <c r="D61" i="22"/>
  <c r="P70" i="31"/>
  <c r="N71" i="31"/>
  <c r="O71" i="31"/>
  <c r="E65" i="31" l="1"/>
  <c r="G64" i="31"/>
  <c r="F64" i="31"/>
  <c r="M64" i="31" s="1"/>
  <c r="D65" i="31"/>
  <c r="Q64" i="31"/>
  <c r="F61" i="22"/>
  <c r="G61" i="22"/>
  <c r="D62" i="22"/>
  <c r="E62" i="22"/>
  <c r="P71" i="31"/>
  <c r="N72" i="31"/>
  <c r="O72" i="31"/>
  <c r="Q65" i="31" l="1"/>
  <c r="D66" i="31"/>
  <c r="F65" i="31"/>
  <c r="M65" i="31" s="1"/>
  <c r="E66" i="31"/>
  <c r="G65" i="31"/>
  <c r="D63" i="22"/>
  <c r="G63" i="22" s="1"/>
  <c r="G62" i="22"/>
  <c r="E63" i="22"/>
  <c r="F62" i="22"/>
  <c r="P72" i="31"/>
  <c r="N73" i="31"/>
  <c r="O73" i="31"/>
  <c r="Q66" i="31" l="1"/>
  <c r="E67" i="31"/>
  <c r="F66" i="31"/>
  <c r="M66" i="31" s="1"/>
  <c r="G66" i="31"/>
  <c r="D67" i="31"/>
  <c r="F63" i="22"/>
  <c r="E64" i="22"/>
  <c r="D64" i="22"/>
  <c r="P73" i="31"/>
  <c r="O74" i="31"/>
  <c r="N74" i="31"/>
  <c r="F67" i="31" l="1"/>
  <c r="M67" i="31" s="1"/>
  <c r="G67" i="31"/>
  <c r="Q67" i="31"/>
  <c r="E68" i="31"/>
  <c r="D68" i="31"/>
  <c r="F64" i="22"/>
  <c r="G64" i="22"/>
  <c r="D65" i="22"/>
  <c r="E66" i="22" s="1"/>
  <c r="E65" i="22"/>
  <c r="P74" i="31"/>
  <c r="O75" i="31"/>
  <c r="N75" i="31"/>
  <c r="E69" i="31" l="1"/>
  <c r="G68" i="31"/>
  <c r="F68" i="31"/>
  <c r="M68" i="31" s="1"/>
  <c r="Q68" i="31"/>
  <c r="D69" i="31"/>
  <c r="F65" i="22"/>
  <c r="D66" i="22"/>
  <c r="D67" i="22" s="1"/>
  <c r="G65" i="22"/>
  <c r="P75" i="31"/>
  <c r="O76" i="31"/>
  <c r="N76" i="31"/>
  <c r="D70" i="31" l="1"/>
  <c r="F69" i="31"/>
  <c r="M69" i="31" s="1"/>
  <c r="Q69" i="31"/>
  <c r="E70" i="31"/>
  <c r="G69" i="31"/>
  <c r="D68" i="22"/>
  <c r="D69" i="22" s="1"/>
  <c r="E68" i="22"/>
  <c r="G67" i="22"/>
  <c r="F66" i="22"/>
  <c r="G66" i="22"/>
  <c r="E67" i="22"/>
  <c r="F67" i="22" s="1"/>
  <c r="P76" i="31"/>
  <c r="O77" i="31"/>
  <c r="N77" i="31"/>
  <c r="G68" i="22" l="1"/>
  <c r="F68" i="22"/>
  <c r="E69" i="22"/>
  <c r="G70" i="31"/>
  <c r="Q70" i="31"/>
  <c r="F70" i="31"/>
  <c r="M70" i="31" s="1"/>
  <c r="E71" i="31"/>
  <c r="D71" i="31"/>
  <c r="F69" i="22"/>
  <c r="D70" i="22"/>
  <c r="G69" i="22"/>
  <c r="E70" i="22"/>
  <c r="P77" i="31"/>
  <c r="O78" i="31"/>
  <c r="N78" i="31"/>
  <c r="D72" i="31" l="1"/>
  <c r="Q72" i="31" s="1"/>
  <c r="E72" i="31"/>
  <c r="F71" i="31"/>
  <c r="M71" i="31" s="1"/>
  <c r="Q71" i="31"/>
  <c r="G71" i="31"/>
  <c r="F70" i="22"/>
  <c r="D71" i="22"/>
  <c r="G70" i="22"/>
  <c r="E71" i="22"/>
  <c r="P78" i="31"/>
  <c r="N79" i="31"/>
  <c r="O79" i="31"/>
  <c r="E73" i="31" l="1"/>
  <c r="G72" i="31"/>
  <c r="F72" i="31"/>
  <c r="M72" i="31" s="1"/>
  <c r="D73" i="31"/>
  <c r="F71" i="22"/>
  <c r="D72" i="22"/>
  <c r="E72" i="22"/>
  <c r="G71" i="22"/>
  <c r="P79" i="31"/>
  <c r="N80" i="31"/>
  <c r="O80" i="31"/>
  <c r="D74" i="31" l="1"/>
  <c r="Q73" i="31"/>
  <c r="F73" i="31"/>
  <c r="M73" i="31" s="1"/>
  <c r="E74" i="31"/>
  <c r="G73" i="31"/>
  <c r="F72" i="22"/>
  <c r="G72" i="22"/>
  <c r="D73" i="22"/>
  <c r="E73" i="22"/>
  <c r="P80" i="31"/>
  <c r="N81" i="31"/>
  <c r="O81" i="31"/>
  <c r="F74" i="31" l="1"/>
  <c r="M74" i="31" s="1"/>
  <c r="G74" i="31"/>
  <c r="D75" i="31"/>
  <c r="Q74" i="31"/>
  <c r="E75" i="31"/>
  <c r="F73" i="22"/>
  <c r="D74" i="22"/>
  <c r="E74" i="22"/>
  <c r="G73" i="22"/>
  <c r="P81" i="31"/>
  <c r="O82" i="31"/>
  <c r="N82" i="31"/>
  <c r="D76" i="31" l="1"/>
  <c r="G75" i="31"/>
  <c r="F75" i="31"/>
  <c r="M75" i="31" s="1"/>
  <c r="E76" i="31"/>
  <c r="Q75" i="31"/>
  <c r="F74" i="22"/>
  <c r="G74" i="22"/>
  <c r="D75" i="22"/>
  <c r="E75" i="22"/>
  <c r="P82" i="31"/>
  <c r="O83" i="31"/>
  <c r="N83" i="31"/>
  <c r="E77" i="31" l="1"/>
  <c r="D77" i="31"/>
  <c r="F76" i="31"/>
  <c r="M76" i="31" s="1"/>
  <c r="Q76" i="31"/>
  <c r="G76" i="31"/>
  <c r="F75" i="22"/>
  <c r="D76" i="22"/>
  <c r="E76" i="22"/>
  <c r="G75" i="22"/>
  <c r="P83" i="31"/>
  <c r="N84" i="31"/>
  <c r="O84" i="31"/>
  <c r="Q77" i="31" l="1"/>
  <c r="G77" i="31"/>
  <c r="F77" i="31"/>
  <c r="M77" i="31" s="1"/>
  <c r="D78" i="31"/>
  <c r="E78" i="31"/>
  <c r="F76" i="22"/>
  <c r="D77" i="22"/>
  <c r="E77" i="22"/>
  <c r="G76" i="22"/>
  <c r="P84" i="31"/>
  <c r="O85" i="31"/>
  <c r="N85" i="31"/>
  <c r="Q78" i="31" l="1"/>
  <c r="F78" i="31"/>
  <c r="M78" i="31" s="1"/>
  <c r="G78" i="31"/>
  <c r="E79" i="31"/>
  <c r="D79" i="31"/>
  <c r="G79" i="31" s="1"/>
  <c r="F77" i="22"/>
  <c r="E78" i="22"/>
  <c r="G77" i="22"/>
  <c r="D78" i="22"/>
  <c r="P85" i="31"/>
  <c r="O86" i="31"/>
  <c r="N86" i="31"/>
  <c r="F79" i="31" l="1"/>
  <c r="M79" i="31" s="1"/>
  <c r="E80" i="31"/>
  <c r="D80" i="31"/>
  <c r="Q79" i="31"/>
  <c r="F78" i="22"/>
  <c r="G78" i="22"/>
  <c r="D79" i="22"/>
  <c r="E79" i="22"/>
  <c r="P86" i="31"/>
  <c r="O87" i="31"/>
  <c r="N87" i="31"/>
  <c r="E81" i="31" l="1"/>
  <c r="D81" i="31"/>
  <c r="F80" i="31"/>
  <c r="M80" i="31" s="1"/>
  <c r="Q80" i="31"/>
  <c r="G80" i="31"/>
  <c r="F79" i="22"/>
  <c r="E80" i="22"/>
  <c r="D80" i="22"/>
  <c r="G79" i="22"/>
  <c r="P87" i="31"/>
  <c r="O88" i="31"/>
  <c r="N88" i="31"/>
  <c r="F81" i="31" l="1"/>
  <c r="M81" i="31" s="1"/>
  <c r="E82" i="31"/>
  <c r="G81" i="31"/>
  <c r="D82" i="31"/>
  <c r="Q81" i="31"/>
  <c r="F80" i="22"/>
  <c r="E81" i="22"/>
  <c r="G80" i="22"/>
  <c r="D81" i="22"/>
  <c r="P88" i="31"/>
  <c r="N89" i="31"/>
  <c r="O89" i="31"/>
  <c r="G82" i="31" l="1"/>
  <c r="Q82" i="31"/>
  <c r="D83" i="31"/>
  <c r="F82" i="31"/>
  <c r="M82" i="31" s="1"/>
  <c r="E83" i="31"/>
  <c r="F81" i="22"/>
  <c r="E82" i="22"/>
  <c r="G81" i="22"/>
  <c r="D82" i="22"/>
  <c r="P89" i="31"/>
  <c r="N90" i="31"/>
  <c r="O90" i="31"/>
  <c r="G83" i="31" l="1"/>
  <c r="D84" i="31"/>
  <c r="E84" i="31"/>
  <c r="F83" i="31"/>
  <c r="M83" i="31" s="1"/>
  <c r="Q83" i="31"/>
  <c r="F82" i="22"/>
  <c r="G82" i="22"/>
  <c r="E83" i="22"/>
  <c r="D83" i="22"/>
  <c r="P90" i="31"/>
  <c r="O91" i="31"/>
  <c r="N91" i="31"/>
  <c r="F84" i="31" l="1"/>
  <c r="M84" i="31" s="1"/>
  <c r="E85" i="31"/>
  <c r="G84" i="31"/>
  <c r="D85" i="31"/>
  <c r="Q84" i="31"/>
  <c r="F83" i="22"/>
  <c r="D84" i="22"/>
  <c r="G83" i="22"/>
  <c r="E84" i="22"/>
  <c r="P91" i="31"/>
  <c r="O92" i="31"/>
  <c r="N92" i="31"/>
  <c r="E86" i="31" l="1"/>
  <c r="G85" i="31"/>
  <c r="Q85" i="31"/>
  <c r="F85" i="31"/>
  <c r="M85" i="31" s="1"/>
  <c r="D86" i="31"/>
  <c r="F84" i="22"/>
  <c r="G84" i="22"/>
  <c r="E85" i="22"/>
  <c r="D85" i="22"/>
  <c r="P92" i="31"/>
  <c r="N93" i="31"/>
  <c r="O93" i="31"/>
  <c r="Q86" i="31" l="1"/>
  <c r="F86" i="31"/>
  <c r="M86" i="31" s="1"/>
  <c r="D87" i="31"/>
  <c r="D88" i="31" s="1"/>
  <c r="G88" i="31" s="1"/>
  <c r="E87" i="31"/>
  <c r="G86" i="31"/>
  <c r="F85" i="22"/>
  <c r="E86" i="22"/>
  <c r="G85" i="22"/>
  <c r="D86" i="22"/>
  <c r="P93" i="31"/>
  <c r="N94" i="31"/>
  <c r="O94" i="31"/>
  <c r="Q88" i="31" l="1"/>
  <c r="E89" i="31"/>
  <c r="D89" i="31"/>
  <c r="F87" i="31"/>
  <c r="M87" i="31" s="1"/>
  <c r="Q87" i="31"/>
  <c r="G87" i="31"/>
  <c r="E88" i="31"/>
  <c r="F88" i="31" s="1"/>
  <c r="M88" i="31" s="1"/>
  <c r="F86" i="22"/>
  <c r="D87" i="22"/>
  <c r="E87" i="22"/>
  <c r="G86" i="22"/>
  <c r="F89" i="31"/>
  <c r="M89" i="31" s="1"/>
  <c r="E90" i="31"/>
  <c r="D90" i="31"/>
  <c r="G89" i="31"/>
  <c r="Q89" i="31"/>
  <c r="P94" i="31"/>
  <c r="N95" i="31"/>
  <c r="O95" i="31"/>
  <c r="F90" i="31" l="1"/>
  <c r="M90" i="31" s="1"/>
  <c r="D91" i="31"/>
  <c r="E91" i="31"/>
  <c r="G90" i="31"/>
  <c r="Q90" i="31"/>
  <c r="F87" i="22"/>
  <c r="D88" i="22"/>
  <c r="E88" i="22"/>
  <c r="G87" i="22"/>
  <c r="P95" i="31"/>
  <c r="O96" i="31"/>
  <c r="N96" i="31"/>
  <c r="F88" i="22" l="1"/>
  <c r="D89" i="22"/>
  <c r="E89" i="22"/>
  <c r="G88" i="22"/>
  <c r="F91" i="31"/>
  <c r="M91" i="31" s="1"/>
  <c r="Q91" i="31"/>
  <c r="G91" i="31"/>
  <c r="E92" i="31"/>
  <c r="D92" i="31"/>
  <c r="P96" i="31"/>
  <c r="O97" i="31"/>
  <c r="N97" i="31"/>
  <c r="F92" i="31" l="1"/>
  <c r="M92" i="31" s="1"/>
  <c r="G92" i="31"/>
  <c r="Q92" i="31"/>
  <c r="D93" i="31"/>
  <c r="E93" i="31"/>
  <c r="F89" i="22"/>
  <c r="E90" i="22"/>
  <c r="D90" i="22"/>
  <c r="G89" i="22"/>
  <c r="P97" i="31"/>
  <c r="N98" i="31"/>
  <c r="O98" i="31"/>
  <c r="F93" i="31" l="1"/>
  <c r="M93" i="31" s="1"/>
  <c r="G93" i="31"/>
  <c r="E94" i="31"/>
  <c r="Q93" i="31"/>
  <c r="D94" i="31"/>
  <c r="F90" i="22"/>
  <c r="G90" i="22"/>
  <c r="E91" i="22"/>
  <c r="D91" i="22"/>
  <c r="P98" i="31"/>
  <c r="O99" i="31"/>
  <c r="N99" i="31"/>
  <c r="F91" i="22" l="1"/>
  <c r="D92" i="22"/>
  <c r="G91" i="22"/>
  <c r="E92" i="22"/>
  <c r="F94" i="31"/>
  <c r="M94" i="31" s="1"/>
  <c r="E95" i="31"/>
  <c r="G94" i="31"/>
  <c r="D95" i="31"/>
  <c r="Q94" i="31"/>
  <c r="P99" i="31"/>
  <c r="N100" i="31"/>
  <c r="O100" i="31"/>
  <c r="F95" i="31" l="1"/>
  <c r="M95" i="31" s="1"/>
  <c r="Q95" i="31"/>
  <c r="G95" i="31"/>
  <c r="E96" i="31"/>
  <c r="D96" i="31"/>
  <c r="F92" i="22"/>
  <c r="D93" i="22"/>
  <c r="E93" i="22"/>
  <c r="G92" i="22"/>
  <c r="P100" i="31"/>
  <c r="N101" i="31"/>
  <c r="O101" i="31"/>
  <c r="F96" i="31" l="1"/>
  <c r="M96" i="31" s="1"/>
  <c r="G96" i="31"/>
  <c r="E97" i="31"/>
  <c r="D97" i="31"/>
  <c r="Q96" i="31"/>
  <c r="F93" i="22"/>
  <c r="E94" i="22"/>
  <c r="D94" i="22"/>
  <c r="G93" i="22"/>
  <c r="P101" i="31"/>
  <c r="N102" i="31"/>
  <c r="O102" i="31"/>
  <c r="F97" i="31" l="1"/>
  <c r="M97" i="31" s="1"/>
  <c r="Q97" i="31"/>
  <c r="G97" i="31"/>
  <c r="E98" i="31"/>
  <c r="D98" i="31"/>
  <c r="F94" i="22"/>
  <c r="E95" i="22"/>
  <c r="G94" i="22"/>
  <c r="D95" i="22"/>
  <c r="P102" i="31"/>
  <c r="O103" i="31"/>
  <c r="N103" i="31"/>
  <c r="F95" i="22" l="1"/>
  <c r="D96" i="22"/>
  <c r="E96" i="22"/>
  <c r="G95" i="22"/>
  <c r="F98" i="31"/>
  <c r="M98" i="31" s="1"/>
  <c r="D99" i="31"/>
  <c r="Q98" i="31"/>
  <c r="E99" i="31"/>
  <c r="G98" i="31"/>
  <c r="P103" i="31"/>
  <c r="N104" i="31"/>
  <c r="O104" i="31"/>
  <c r="F99" i="31" l="1"/>
  <c r="M99" i="31" s="1"/>
  <c r="G99" i="31"/>
  <c r="Q99" i="31"/>
  <c r="E100" i="31"/>
  <c r="D100" i="31"/>
  <c r="F96" i="22"/>
  <c r="G96" i="22"/>
  <c r="E97" i="22"/>
  <c r="D97" i="22"/>
  <c r="P104" i="31"/>
  <c r="O105" i="31"/>
  <c r="N105" i="31"/>
  <c r="F97" i="22" l="1"/>
  <c r="E98" i="22"/>
  <c r="D98" i="22"/>
  <c r="G97" i="22"/>
  <c r="F100" i="31"/>
  <c r="M100" i="31" s="1"/>
  <c r="E101" i="31"/>
  <c r="Q100" i="31"/>
  <c r="G100" i="31"/>
  <c r="D101" i="31"/>
  <c r="P105" i="31"/>
  <c r="O106" i="31"/>
  <c r="N106" i="31"/>
  <c r="F101" i="31" l="1"/>
  <c r="M101" i="31" s="1"/>
  <c r="D102" i="31"/>
  <c r="Q101" i="31"/>
  <c r="G101" i="31"/>
  <c r="E102" i="31"/>
  <c r="F98" i="22"/>
  <c r="E99" i="22"/>
  <c r="D99" i="22"/>
  <c r="G98" i="22"/>
  <c r="P106" i="31"/>
  <c r="N107" i="31"/>
  <c r="O107" i="31"/>
  <c r="F102" i="31" l="1"/>
  <c r="M102" i="31" s="1"/>
  <c r="G102" i="31"/>
  <c r="Q102" i="31"/>
  <c r="E103" i="31"/>
  <c r="D103" i="31"/>
  <c r="F99" i="22"/>
  <c r="D100" i="22"/>
  <c r="G99" i="22"/>
  <c r="E100" i="22"/>
  <c r="P107" i="31"/>
  <c r="O108" i="31"/>
  <c r="N108" i="31"/>
  <c r="F103" i="31" l="1"/>
  <c r="M103" i="31" s="1"/>
  <c r="D104" i="31"/>
  <c r="Q103" i="31"/>
  <c r="G103" i="31"/>
  <c r="E104" i="31"/>
  <c r="F100" i="22"/>
  <c r="D101" i="22"/>
  <c r="E101" i="22"/>
  <c r="G100" i="22"/>
  <c r="P108" i="31"/>
  <c r="O109" i="31"/>
  <c r="N109" i="31"/>
  <c r="F101" i="22" l="1"/>
  <c r="E102" i="22"/>
  <c r="G101" i="22"/>
  <c r="D102" i="22"/>
  <c r="F104" i="31"/>
  <c r="M104" i="31" s="1"/>
  <c r="E105" i="31"/>
  <c r="G104" i="31"/>
  <c r="Q104" i="31"/>
  <c r="D105" i="31"/>
  <c r="P109" i="31"/>
  <c r="N110" i="31"/>
  <c r="O110" i="31"/>
  <c r="F105" i="31" l="1"/>
  <c r="M105" i="31" s="1"/>
  <c r="D106" i="31"/>
  <c r="G105" i="31"/>
  <c r="E106" i="31"/>
  <c r="Q105" i="31"/>
  <c r="F102" i="22"/>
  <c r="D103" i="22"/>
  <c r="E103" i="22"/>
  <c r="G102" i="22"/>
  <c r="P110" i="31"/>
  <c r="N111" i="31"/>
  <c r="O111" i="31"/>
  <c r="F106" i="31" l="1"/>
  <c r="M106" i="31" s="1"/>
  <c r="Q106" i="31"/>
  <c r="G106" i="31"/>
  <c r="E107" i="31"/>
  <c r="D107" i="31"/>
  <c r="F103" i="22"/>
  <c r="D104" i="22"/>
  <c r="E104" i="22"/>
  <c r="G103" i="22"/>
  <c r="P111" i="31"/>
  <c r="N112" i="31"/>
  <c r="O112" i="31"/>
  <c r="F107" i="31" l="1"/>
  <c r="M107" i="31" s="1"/>
  <c r="Q107" i="31"/>
  <c r="G107" i="31"/>
  <c r="E108" i="31"/>
  <c r="D108" i="31"/>
  <c r="F104" i="22"/>
  <c r="E105" i="22"/>
  <c r="D105" i="22"/>
  <c r="G104" i="22"/>
  <c r="P112" i="31"/>
  <c r="O113" i="31"/>
  <c r="N113" i="31"/>
  <c r="F105" i="22" l="1"/>
  <c r="E106" i="22"/>
  <c r="D106" i="22"/>
  <c r="G105" i="22"/>
  <c r="F108" i="31"/>
  <c r="M108" i="31" s="1"/>
  <c r="E109" i="31"/>
  <c r="G108" i="31"/>
  <c r="D109" i="31"/>
  <c r="Q108" i="31"/>
  <c r="P113" i="31"/>
  <c r="N114" i="31"/>
  <c r="O114" i="31"/>
  <c r="F109" i="31" l="1"/>
  <c r="M109" i="31" s="1"/>
  <c r="Q109" i="31"/>
  <c r="G109" i="31"/>
  <c r="D110" i="31"/>
  <c r="E110" i="31"/>
  <c r="F106" i="22"/>
  <c r="D107" i="22"/>
  <c r="E107" i="22"/>
  <c r="G106" i="22"/>
  <c r="P114" i="31"/>
  <c r="N115" i="31"/>
  <c r="O115" i="31"/>
  <c r="F110" i="31" l="1"/>
  <c r="M110" i="31" s="1"/>
  <c r="E111" i="31"/>
  <c r="Q110" i="31"/>
  <c r="G110" i="31"/>
  <c r="D111" i="31"/>
  <c r="F107" i="22"/>
  <c r="G107" i="22"/>
  <c r="D108" i="22"/>
  <c r="E108" i="22"/>
  <c r="P115" i="31"/>
  <c r="O116" i="31"/>
  <c r="N116" i="31"/>
  <c r="F108" i="22" l="1"/>
  <c r="E109" i="22"/>
  <c r="G108" i="22"/>
  <c r="D109" i="22"/>
  <c r="F111" i="31"/>
  <c r="M111" i="31" s="1"/>
  <c r="Q111" i="31"/>
  <c r="G111" i="31"/>
  <c r="E112" i="31"/>
  <c r="D112" i="31"/>
  <c r="P116" i="31"/>
  <c r="N117" i="31"/>
  <c r="O117" i="31"/>
  <c r="F112" i="31" l="1"/>
  <c r="M112" i="31" s="1"/>
  <c r="Q112" i="31"/>
  <c r="D113" i="31"/>
  <c r="E113" i="31"/>
  <c r="G112" i="31"/>
  <c r="F109" i="22"/>
  <c r="E110" i="22"/>
  <c r="D110" i="22"/>
  <c r="G109" i="22"/>
  <c r="P117" i="31"/>
  <c r="O118" i="31"/>
  <c r="N118" i="31"/>
  <c r="F110" i="22" l="1"/>
  <c r="D111" i="22"/>
  <c r="G110" i="22"/>
  <c r="E111" i="22"/>
  <c r="F113" i="31"/>
  <c r="M113" i="31" s="1"/>
  <c r="D114" i="31"/>
  <c r="Q113" i="31"/>
  <c r="G113" i="31"/>
  <c r="E114" i="31"/>
  <c r="P118" i="31"/>
  <c r="O119" i="31"/>
  <c r="N119" i="31"/>
  <c r="F114" i="31" l="1"/>
  <c r="M114" i="31" s="1"/>
  <c r="G114" i="31"/>
  <c r="Q114" i="31"/>
  <c r="D115" i="31"/>
  <c r="E115" i="31"/>
  <c r="F111" i="22"/>
  <c r="G111" i="22"/>
  <c r="E112" i="22"/>
  <c r="D112" i="22"/>
  <c r="P119" i="31"/>
  <c r="O120" i="31"/>
  <c r="N120" i="31"/>
  <c r="F115" i="31" l="1"/>
  <c r="M115" i="31" s="1"/>
  <c r="Q115" i="31"/>
  <c r="D116" i="31"/>
  <c r="E116" i="31"/>
  <c r="G115" i="31"/>
  <c r="F112" i="22"/>
  <c r="G112" i="22"/>
  <c r="E113" i="22"/>
  <c r="D113" i="22"/>
  <c r="P120" i="31"/>
  <c r="N121" i="31"/>
  <c r="O121" i="31"/>
  <c r="F113" i="22" l="1"/>
  <c r="D114" i="22"/>
  <c r="E114" i="22"/>
  <c r="G113" i="22"/>
  <c r="F116" i="31"/>
  <c r="M116" i="31" s="1"/>
  <c r="D117" i="31"/>
  <c r="Q116" i="31"/>
  <c r="G116" i="31"/>
  <c r="E117" i="31"/>
  <c r="P121" i="31"/>
  <c r="N122" i="31"/>
  <c r="O122" i="31"/>
  <c r="F117" i="31" l="1"/>
  <c r="M117" i="31" s="1"/>
  <c r="G117" i="31"/>
  <c r="Q117" i="31"/>
  <c r="D118" i="31"/>
  <c r="E118" i="31"/>
  <c r="F114" i="22"/>
  <c r="G114" i="22"/>
  <c r="D115" i="22"/>
  <c r="E115" i="22"/>
  <c r="P122" i="31"/>
  <c r="N123" i="31"/>
  <c r="O123" i="31"/>
  <c r="F115" i="22" l="1"/>
  <c r="G115" i="22"/>
  <c r="D116" i="22"/>
  <c r="E116" i="22"/>
  <c r="F118" i="31"/>
  <c r="M118" i="31" s="1"/>
  <c r="G118" i="31"/>
  <c r="E119" i="31"/>
  <c r="Q118" i="31"/>
  <c r="D119" i="31"/>
  <c r="P123" i="31"/>
  <c r="O124" i="31"/>
  <c r="N124" i="31"/>
  <c r="F119" i="31" l="1"/>
  <c r="M119" i="31" s="1"/>
  <c r="Q119" i="31"/>
  <c r="G119" i="31"/>
  <c r="D120" i="31"/>
  <c r="E120" i="31"/>
  <c r="F116" i="22"/>
  <c r="E117" i="22"/>
  <c r="D117" i="22"/>
  <c r="G116" i="22"/>
  <c r="P124" i="31"/>
  <c r="O125" i="31"/>
  <c r="N125" i="31"/>
  <c r="F120" i="31" l="1"/>
  <c r="M120" i="31" s="1"/>
  <c r="Q120" i="31"/>
  <c r="G120" i="31"/>
  <c r="D121" i="31"/>
  <c r="E121" i="31"/>
  <c r="F117" i="22"/>
  <c r="G117" i="22"/>
  <c r="E118" i="22"/>
  <c r="D118" i="22"/>
  <c r="P125" i="31"/>
  <c r="O126" i="31"/>
  <c r="N126" i="31"/>
  <c r="F118" i="22" l="1"/>
  <c r="D119" i="22"/>
  <c r="E119" i="22"/>
  <c r="G118" i="22"/>
  <c r="F121" i="31"/>
  <c r="M121" i="31" s="1"/>
  <c r="E122" i="31"/>
  <c r="Q121" i="31"/>
  <c r="D122" i="31"/>
  <c r="G121" i="31"/>
  <c r="P126" i="31"/>
  <c r="N127" i="31"/>
  <c r="O127" i="31"/>
  <c r="F122" i="31" l="1"/>
  <c r="M122" i="31" s="1"/>
  <c r="E123" i="31"/>
  <c r="Q122" i="31"/>
  <c r="D123" i="31"/>
  <c r="G122" i="31"/>
  <c r="F119" i="22"/>
  <c r="G119" i="22"/>
  <c r="D120" i="22"/>
  <c r="E120" i="22"/>
  <c r="P127" i="31"/>
  <c r="N128" i="31"/>
  <c r="O128" i="31"/>
  <c r="F120" i="22" l="1"/>
  <c r="G120" i="22"/>
  <c r="D121" i="22"/>
  <c r="E121" i="22"/>
  <c r="F123" i="31"/>
  <c r="M123" i="31" s="1"/>
  <c r="D124" i="31"/>
  <c r="Q123" i="31"/>
  <c r="G123" i="31"/>
  <c r="E124" i="31"/>
  <c r="P128" i="31"/>
  <c r="N129" i="31"/>
  <c r="O129" i="31"/>
  <c r="F124" i="31" l="1"/>
  <c r="M124" i="31" s="1"/>
  <c r="Q124" i="31"/>
  <c r="D125" i="31"/>
  <c r="G124" i="31"/>
  <c r="E125" i="31"/>
  <c r="F121" i="22"/>
  <c r="D122" i="22"/>
  <c r="E122" i="22"/>
  <c r="G121" i="22"/>
  <c r="P129" i="31"/>
  <c r="O130" i="31"/>
  <c r="N130" i="31"/>
  <c r="F122" i="22" l="1"/>
  <c r="E123" i="22"/>
  <c r="G122" i="22"/>
  <c r="D123" i="22"/>
  <c r="F125" i="31"/>
  <c r="M125" i="31" s="1"/>
  <c r="Q125" i="31"/>
  <c r="D126" i="31"/>
  <c r="G125" i="31"/>
  <c r="E126" i="31"/>
  <c r="P130" i="31"/>
  <c r="N131" i="31"/>
  <c r="O131" i="31"/>
  <c r="F123" i="22" l="1"/>
  <c r="E124" i="22"/>
  <c r="D124" i="22"/>
  <c r="G123" i="22"/>
  <c r="F126" i="31"/>
  <c r="M126" i="31" s="1"/>
  <c r="Q126" i="31"/>
  <c r="G126" i="31"/>
  <c r="E127" i="31"/>
  <c r="D127" i="31"/>
  <c r="P131" i="31"/>
  <c r="N132" i="31"/>
  <c r="O132" i="31"/>
  <c r="F127" i="31" l="1"/>
  <c r="M127" i="31" s="1"/>
  <c r="Q127" i="31"/>
  <c r="E128" i="31"/>
  <c r="D128" i="31"/>
  <c r="G127" i="31"/>
  <c r="F124" i="22"/>
  <c r="G124" i="22"/>
  <c r="E125" i="22"/>
  <c r="D125" i="22"/>
  <c r="P132" i="31"/>
  <c r="N133" i="31"/>
  <c r="O133" i="31"/>
  <c r="F125" i="22" l="1"/>
  <c r="D126" i="22"/>
  <c r="G125" i="22"/>
  <c r="E126" i="22"/>
  <c r="F128" i="31"/>
  <c r="M128" i="31" s="1"/>
  <c r="Q128" i="31"/>
  <c r="D129" i="31"/>
  <c r="G128" i="31"/>
  <c r="E129" i="31"/>
  <c r="P133" i="31"/>
  <c r="O134" i="31"/>
  <c r="N134" i="31"/>
  <c r="F129" i="31" l="1"/>
  <c r="M129" i="31" s="1"/>
  <c r="E130" i="31"/>
  <c r="Q129" i="31"/>
  <c r="G129" i="31"/>
  <c r="D130" i="31"/>
  <c r="F126" i="22"/>
  <c r="G126" i="22"/>
  <c r="D127" i="22"/>
  <c r="E127" i="22"/>
  <c r="P134" i="31"/>
  <c r="N135" i="31"/>
  <c r="O135" i="31"/>
  <c r="F127" i="22" l="1"/>
  <c r="D128" i="22"/>
  <c r="E128" i="22"/>
  <c r="G127" i="22"/>
  <c r="F130" i="31"/>
  <c r="M130" i="31" s="1"/>
  <c r="Q130" i="31"/>
  <c r="G130" i="31"/>
  <c r="E131" i="31"/>
  <c r="D131" i="31"/>
  <c r="P135" i="31"/>
  <c r="O136" i="31"/>
  <c r="N136" i="31"/>
  <c r="F131" i="31" l="1"/>
  <c r="M131" i="31" s="1"/>
  <c r="Q131" i="31"/>
  <c r="E132" i="31"/>
  <c r="G131" i="31"/>
  <c r="D132" i="31"/>
  <c r="F128" i="22"/>
  <c r="G128" i="22"/>
  <c r="E129" i="22"/>
  <c r="D129" i="22"/>
  <c r="P136" i="31"/>
  <c r="N137" i="31"/>
  <c r="O137" i="31"/>
  <c r="F129" i="22" l="1"/>
  <c r="G129" i="22"/>
  <c r="E130" i="22"/>
  <c r="D130" i="22"/>
  <c r="F132" i="31"/>
  <c r="M132" i="31" s="1"/>
  <c r="E133" i="31"/>
  <c r="Q132" i="31"/>
  <c r="D133" i="31"/>
  <c r="G132" i="31"/>
  <c r="P137" i="31"/>
  <c r="O138" i="31"/>
  <c r="N138" i="31"/>
  <c r="F130" i="22" l="1"/>
  <c r="D131" i="22"/>
  <c r="E131" i="22"/>
  <c r="G130" i="22"/>
  <c r="F133" i="31"/>
  <c r="M133" i="31" s="1"/>
  <c r="E134" i="31"/>
  <c r="G133" i="31"/>
  <c r="D134" i="31"/>
  <c r="Q133" i="31"/>
  <c r="P138" i="31"/>
  <c r="O139" i="31"/>
  <c r="N139" i="31"/>
  <c r="F134" i="31" l="1"/>
  <c r="M134" i="31" s="1"/>
  <c r="G134" i="31"/>
  <c r="E135" i="31"/>
  <c r="Q134" i="31"/>
  <c r="D135" i="31"/>
  <c r="F131" i="22"/>
  <c r="G131" i="22"/>
  <c r="D132" i="22"/>
  <c r="E132" i="22"/>
  <c r="P139" i="31"/>
  <c r="N140" i="31"/>
  <c r="O140" i="31"/>
  <c r="F135" i="31" l="1"/>
  <c r="M135" i="31" s="1"/>
  <c r="E136" i="31"/>
  <c r="G135" i="31"/>
  <c r="Q135" i="31"/>
  <c r="D136" i="31"/>
  <c r="F132" i="22"/>
  <c r="D133" i="22"/>
  <c r="E133" i="22"/>
  <c r="G132" i="22"/>
  <c r="P140" i="31"/>
  <c r="N141" i="31"/>
  <c r="O141" i="31"/>
  <c r="F133" i="22" l="1"/>
  <c r="G133" i="22"/>
  <c r="D134" i="22"/>
  <c r="E134" i="22"/>
  <c r="F136" i="31"/>
  <c r="M136" i="31" s="1"/>
  <c r="G136" i="31"/>
  <c r="Q136" i="31"/>
  <c r="D137" i="31"/>
  <c r="E137" i="31"/>
  <c r="P141" i="31"/>
  <c r="N142" i="31"/>
  <c r="O142" i="31"/>
  <c r="F137" i="31" l="1"/>
  <c r="M137" i="31" s="1"/>
  <c r="Q137" i="31"/>
  <c r="G137" i="31"/>
  <c r="E138" i="31"/>
  <c r="D138" i="31"/>
  <c r="F134" i="22"/>
  <c r="E135" i="22"/>
  <c r="G134" i="22"/>
  <c r="D135" i="22"/>
  <c r="P142" i="31"/>
  <c r="O143" i="31"/>
  <c r="N143" i="31"/>
  <c r="F138" i="31" l="1"/>
  <c r="M138" i="31" s="1"/>
  <c r="Q138" i="31"/>
  <c r="E139" i="31"/>
  <c r="G138" i="31"/>
  <c r="D139" i="31"/>
  <c r="F135" i="22"/>
  <c r="D136" i="22"/>
  <c r="G135" i="22"/>
  <c r="E136" i="22"/>
  <c r="P143" i="31"/>
  <c r="N144" i="31"/>
  <c r="O144" i="31"/>
  <c r="F136" i="22" l="1"/>
  <c r="D137" i="22"/>
  <c r="E137" i="22"/>
  <c r="G136" i="22"/>
  <c r="F139" i="31"/>
  <c r="M139" i="31" s="1"/>
  <c r="Q139" i="31"/>
  <c r="E140" i="31"/>
  <c r="G139" i="31"/>
  <c r="D140" i="31"/>
  <c r="P144" i="31"/>
  <c r="N145" i="31"/>
  <c r="O145" i="31"/>
  <c r="F140" i="31" l="1"/>
  <c r="M140" i="31" s="1"/>
  <c r="Q140" i="31"/>
  <c r="G140" i="31"/>
  <c r="E141" i="31"/>
  <c r="D141" i="31"/>
  <c r="F137" i="22"/>
  <c r="E138" i="22"/>
  <c r="D138" i="22"/>
  <c r="G137" i="22"/>
  <c r="P145" i="31"/>
  <c r="N146" i="31"/>
  <c r="O146" i="31"/>
  <c r="F138" i="22" l="1"/>
  <c r="G138" i="22"/>
  <c r="D139" i="22"/>
  <c r="E139" i="22"/>
  <c r="F141" i="31"/>
  <c r="M141" i="31" s="1"/>
  <c r="G141" i="31"/>
  <c r="Q141" i="31"/>
  <c r="D142" i="31"/>
  <c r="E142" i="31"/>
  <c r="P146" i="31"/>
  <c r="N147" i="31"/>
  <c r="O147" i="31"/>
  <c r="F142" i="31" l="1"/>
  <c r="M142" i="31" s="1"/>
  <c r="Q142" i="31"/>
  <c r="G142" i="31"/>
  <c r="D143" i="31"/>
  <c r="E143" i="31"/>
  <c r="F139" i="22"/>
  <c r="D140" i="22"/>
  <c r="E140" i="22"/>
  <c r="G139" i="22"/>
  <c r="P147" i="31"/>
  <c r="N148" i="31"/>
  <c r="O148" i="31"/>
  <c r="F140" i="22" l="1"/>
  <c r="G140" i="22"/>
  <c r="E141" i="22"/>
  <c r="D141" i="22"/>
  <c r="F143" i="31"/>
  <c r="M143" i="31" s="1"/>
  <c r="L8" i="31" s="1"/>
  <c r="Q143" i="31"/>
  <c r="E144" i="31"/>
  <c r="G143" i="31"/>
  <c r="D144" i="31"/>
  <c r="P148" i="31"/>
  <c r="N149" i="31"/>
  <c r="O149" i="31"/>
  <c r="F144" i="31" l="1"/>
  <c r="Q144" i="31"/>
  <c r="E145" i="31"/>
  <c r="G144" i="31"/>
  <c r="D145" i="31"/>
  <c r="F141" i="22"/>
  <c r="D142" i="22"/>
  <c r="E142" i="22"/>
  <c r="G141" i="22"/>
  <c r="P149" i="31"/>
  <c r="O150" i="31"/>
  <c r="N150" i="31"/>
  <c r="F145" i="31" l="1"/>
  <c r="E146" i="31"/>
  <c r="D146" i="31"/>
  <c r="Q145" i="31"/>
  <c r="G145" i="31"/>
  <c r="F142" i="22"/>
  <c r="D143" i="22"/>
  <c r="G142" i="22"/>
  <c r="E143" i="22"/>
  <c r="P150" i="31"/>
  <c r="N151" i="31"/>
  <c r="O151" i="31"/>
  <c r="F146" i="31" l="1"/>
  <c r="E147" i="31"/>
  <c r="Q146" i="31"/>
  <c r="D147" i="31"/>
  <c r="G146" i="31"/>
  <c r="F143" i="22"/>
  <c r="D144" i="22"/>
  <c r="E144" i="22"/>
  <c r="G143" i="22"/>
  <c r="P151" i="31"/>
  <c r="O152" i="31"/>
  <c r="N152" i="31"/>
  <c r="F147" i="31" l="1"/>
  <c r="D148" i="31"/>
  <c r="Q147" i="31"/>
  <c r="E148" i="31"/>
  <c r="G147" i="31"/>
  <c r="F144" i="22"/>
  <c r="G144" i="22"/>
  <c r="E145" i="22"/>
  <c r="D145" i="22"/>
  <c r="P152" i="31"/>
  <c r="N153" i="31"/>
  <c r="O153" i="31"/>
  <c r="F145" i="22" l="1"/>
  <c r="G145" i="22"/>
  <c r="E146" i="22"/>
  <c r="D146" i="22"/>
  <c r="F148" i="31"/>
  <c r="G148" i="31"/>
  <c r="E149" i="31"/>
  <c r="D149" i="31"/>
  <c r="Q148" i="31"/>
  <c r="P153" i="31"/>
  <c r="N154" i="31"/>
  <c r="O154" i="31"/>
  <c r="F149" i="31" l="1"/>
  <c r="E150" i="31"/>
  <c r="G149" i="31"/>
  <c r="Q149" i="31"/>
  <c r="D150" i="31"/>
  <c r="F146" i="22"/>
  <c r="E147" i="22"/>
  <c r="G146" i="22"/>
  <c r="D147" i="22"/>
  <c r="P154" i="31"/>
  <c r="O155" i="31"/>
  <c r="N155" i="31"/>
  <c r="F150" i="31" l="1"/>
  <c r="D151" i="31"/>
  <c r="E151" i="31"/>
  <c r="G150" i="31"/>
  <c r="Q150" i="31"/>
  <c r="F147" i="22"/>
  <c r="E148" i="22"/>
  <c r="G147" i="22"/>
  <c r="D148" i="22"/>
  <c r="P155" i="31"/>
  <c r="O156" i="31"/>
  <c r="N156" i="31"/>
  <c r="F148" i="22" l="1"/>
  <c r="D149" i="22"/>
  <c r="E149" i="22"/>
  <c r="G148" i="22"/>
  <c r="F151" i="31"/>
  <c r="D152" i="31"/>
  <c r="G151" i="31"/>
  <c r="E152" i="31"/>
  <c r="Q151" i="31"/>
  <c r="P156" i="31"/>
  <c r="O157" i="31"/>
  <c r="N157" i="31"/>
  <c r="F149" i="22" l="1"/>
  <c r="D150" i="22"/>
  <c r="E150" i="22"/>
  <c r="G149" i="22"/>
  <c r="F152" i="31"/>
  <c r="D153" i="31"/>
  <c r="E153" i="31"/>
  <c r="Q152" i="31"/>
  <c r="G152" i="31"/>
  <c r="P157" i="31"/>
  <c r="O158" i="31"/>
  <c r="N158" i="31"/>
  <c r="F153" i="31" l="1"/>
  <c r="G153" i="31"/>
  <c r="Q153" i="31"/>
  <c r="D154" i="31"/>
  <c r="E154" i="31"/>
  <c r="F150" i="22"/>
  <c r="D151" i="22"/>
  <c r="E151" i="22"/>
  <c r="G150" i="22"/>
  <c r="P158" i="31"/>
  <c r="N159" i="31"/>
  <c r="O159" i="31"/>
  <c r="F154" i="31" l="1"/>
  <c r="G154" i="31"/>
  <c r="Q154" i="31"/>
  <c r="E155" i="31"/>
  <c r="D155" i="31"/>
  <c r="F151" i="22"/>
  <c r="E152" i="22"/>
  <c r="D152" i="22"/>
  <c r="G151" i="22"/>
  <c r="P159" i="31"/>
  <c r="O160" i="31"/>
  <c r="N160" i="31"/>
  <c r="F152" i="22" l="1"/>
  <c r="E153" i="22"/>
  <c r="G152" i="22"/>
  <c r="D153" i="22"/>
  <c r="F155" i="31"/>
  <c r="G155" i="31"/>
  <c r="E156" i="31"/>
  <c r="Q155" i="31"/>
  <c r="D156" i="31"/>
  <c r="P160" i="31"/>
  <c r="O161" i="31"/>
  <c r="N161" i="31"/>
  <c r="F156" i="31" l="1"/>
  <c r="G156" i="31"/>
  <c r="D157" i="31"/>
  <c r="Q156" i="31"/>
  <c r="E157" i="31"/>
  <c r="F153" i="22"/>
  <c r="D154" i="22"/>
  <c r="G153" i="22"/>
  <c r="E154" i="22"/>
  <c r="P161" i="31"/>
  <c r="O162" i="31"/>
  <c r="N162" i="31"/>
  <c r="F154" i="22" l="1"/>
  <c r="E155" i="22"/>
  <c r="D155" i="22"/>
  <c r="G154" i="22"/>
  <c r="F157" i="31"/>
  <c r="E158" i="31"/>
  <c r="G157" i="31"/>
  <c r="Q157" i="31"/>
  <c r="D158" i="31"/>
  <c r="P162" i="31"/>
  <c r="N163" i="31"/>
  <c r="O163" i="31"/>
  <c r="F158" i="31" l="1"/>
  <c r="G158" i="31"/>
  <c r="Q158" i="31"/>
  <c r="E159" i="31"/>
  <c r="D159" i="31"/>
  <c r="F155" i="22"/>
  <c r="G155" i="22"/>
  <c r="E156" i="22"/>
  <c r="D156" i="22"/>
  <c r="P163" i="31"/>
  <c r="N164" i="31"/>
  <c r="O164" i="31"/>
  <c r="F156" i="22" l="1"/>
  <c r="G156" i="22"/>
  <c r="E157" i="22"/>
  <c r="D157" i="22"/>
  <c r="F159" i="31"/>
  <c r="E160" i="31"/>
  <c r="D160" i="31"/>
  <c r="Q159" i="31"/>
  <c r="G159" i="31"/>
  <c r="P164" i="31"/>
  <c r="N165" i="31"/>
  <c r="O165" i="31"/>
  <c r="F157" i="22" l="1"/>
  <c r="E158" i="22"/>
  <c r="D158" i="22"/>
  <c r="G157" i="22"/>
  <c r="F160" i="31"/>
  <c r="D161" i="31"/>
  <c r="Q160" i="31"/>
  <c r="G160" i="31"/>
  <c r="E161" i="31"/>
  <c r="P165" i="31"/>
  <c r="N166" i="31"/>
  <c r="O166" i="31"/>
  <c r="F158" i="22" l="1"/>
  <c r="D159" i="22"/>
  <c r="E159" i="22"/>
  <c r="G158" i="22"/>
  <c r="F161" i="31"/>
  <c r="Q161" i="31"/>
  <c r="D162" i="31"/>
  <c r="G161" i="31"/>
  <c r="E162" i="31"/>
  <c r="P166" i="31"/>
  <c r="N167" i="31"/>
  <c r="O167" i="31"/>
  <c r="F162" i="31" l="1"/>
  <c r="Q162" i="31"/>
  <c r="E163" i="31"/>
  <c r="G162" i="31"/>
  <c r="D163" i="31"/>
  <c r="F159" i="22"/>
  <c r="E160" i="22"/>
  <c r="D160" i="22"/>
  <c r="G159" i="22"/>
  <c r="P167" i="31"/>
  <c r="O168" i="31"/>
  <c r="N168" i="31"/>
  <c r="F160" i="22" l="1"/>
  <c r="G160" i="22"/>
  <c r="D161" i="22"/>
  <c r="E161" i="22"/>
  <c r="F163" i="31"/>
  <c r="Q163" i="31"/>
  <c r="G163" i="31"/>
  <c r="E164" i="31"/>
  <c r="D164" i="31"/>
  <c r="P168" i="31"/>
  <c r="O169" i="31"/>
  <c r="N169" i="31"/>
  <c r="F164" i="31" l="1"/>
  <c r="D165" i="31"/>
  <c r="E165" i="31"/>
  <c r="G164" i="31"/>
  <c r="Q164" i="31"/>
  <c r="F161" i="22"/>
  <c r="E162" i="22"/>
  <c r="D162" i="22"/>
  <c r="G161" i="22"/>
  <c r="P169" i="31"/>
  <c r="O170" i="31"/>
  <c r="N170" i="31"/>
  <c r="F162" i="22" l="1"/>
  <c r="D163" i="22"/>
  <c r="E163" i="22"/>
  <c r="G162" i="22"/>
  <c r="F165" i="31"/>
  <c r="D166" i="31"/>
  <c r="E166" i="31"/>
  <c r="G165" i="31"/>
  <c r="Q165" i="31"/>
  <c r="P170" i="31"/>
  <c r="O171" i="31"/>
  <c r="N171" i="31"/>
  <c r="F166" i="31" l="1"/>
  <c r="Q166" i="31"/>
  <c r="G166" i="31"/>
  <c r="D167" i="31"/>
  <c r="E167" i="31"/>
  <c r="F163" i="22"/>
  <c r="G163" i="22"/>
  <c r="E164" i="22"/>
  <c r="D164" i="22"/>
  <c r="P171" i="31"/>
  <c r="O172" i="31"/>
  <c r="N172" i="31"/>
  <c r="F164" i="22" l="1"/>
  <c r="E165" i="22"/>
  <c r="D165" i="22"/>
  <c r="G164" i="22"/>
  <c r="F167" i="31"/>
  <c r="G167" i="31"/>
  <c r="D168" i="31"/>
  <c r="Q167" i="31"/>
  <c r="E168" i="31"/>
  <c r="P172" i="31"/>
  <c r="O173" i="31"/>
  <c r="N173" i="31"/>
  <c r="F168" i="31" l="1"/>
  <c r="Q168" i="31"/>
  <c r="D169" i="31"/>
  <c r="G168" i="31"/>
  <c r="E169" i="31"/>
  <c r="F165" i="22"/>
  <c r="D166" i="22"/>
  <c r="E166" i="22"/>
  <c r="G165" i="22"/>
  <c r="P173" i="31"/>
  <c r="N174" i="31"/>
  <c r="O174" i="31"/>
  <c r="F166" i="22" l="1"/>
  <c r="D167" i="22"/>
  <c r="G166" i="22"/>
  <c r="E167" i="22"/>
  <c r="F169" i="31"/>
  <c r="E170" i="31"/>
  <c r="G169" i="31"/>
  <c r="Q169" i="31"/>
  <c r="D170" i="31"/>
  <c r="P174" i="31"/>
  <c r="O175" i="31"/>
  <c r="N175" i="31"/>
  <c r="F170" i="31" l="1"/>
  <c r="E171" i="31"/>
  <c r="G170" i="31"/>
  <c r="Q170" i="31"/>
  <c r="D171" i="31"/>
  <c r="F167" i="22"/>
  <c r="G167" i="22"/>
  <c r="E168" i="22"/>
  <c r="D168" i="22"/>
  <c r="P175" i="31"/>
  <c r="O176" i="31"/>
  <c r="N176" i="31"/>
  <c r="F168" i="22" l="1"/>
  <c r="D169" i="22"/>
  <c r="G168" i="22"/>
  <c r="E169" i="22"/>
  <c r="F171" i="31"/>
  <c r="E172" i="31"/>
  <c r="G171" i="31"/>
  <c r="D172" i="31"/>
  <c r="Q171" i="31"/>
  <c r="P176" i="31"/>
  <c r="N177" i="31"/>
  <c r="O177" i="31"/>
  <c r="F172" i="31" l="1"/>
  <c r="Q172" i="31"/>
  <c r="E173" i="31"/>
  <c r="G172" i="31"/>
  <c r="D173" i="31"/>
  <c r="F169" i="22"/>
  <c r="D170" i="22"/>
  <c r="E170" i="22"/>
  <c r="G169" i="22"/>
  <c r="P177" i="31"/>
  <c r="O178" i="31"/>
  <c r="N178" i="31"/>
  <c r="F170" i="22" l="1"/>
  <c r="E171" i="22"/>
  <c r="D171" i="22"/>
  <c r="G170" i="22"/>
  <c r="F173" i="31"/>
  <c r="E174" i="31"/>
  <c r="Q173" i="31"/>
  <c r="G173" i="31"/>
  <c r="D174" i="31"/>
  <c r="P178" i="31"/>
  <c r="O179" i="31"/>
  <c r="N179" i="31"/>
  <c r="F174" i="31" l="1"/>
  <c r="G174" i="31"/>
  <c r="Q174" i="31"/>
  <c r="D175" i="31"/>
  <c r="E175" i="31"/>
  <c r="F171" i="22"/>
  <c r="D172" i="22"/>
  <c r="G171" i="22"/>
  <c r="E172" i="22"/>
  <c r="P179" i="31"/>
  <c r="N180" i="31"/>
  <c r="O180" i="31"/>
  <c r="F172" i="22" l="1"/>
  <c r="E173" i="22"/>
  <c r="G172" i="22"/>
  <c r="D173" i="22"/>
  <c r="F175" i="31"/>
  <c r="G175" i="31"/>
  <c r="Q175" i="31"/>
  <c r="E176" i="31"/>
  <c r="D176" i="31"/>
  <c r="P180" i="31"/>
  <c r="N181" i="31"/>
  <c r="O181" i="31"/>
  <c r="F176" i="31" l="1"/>
  <c r="D177" i="31"/>
  <c r="Q176" i="31"/>
  <c r="E177" i="31"/>
  <c r="G176" i="31"/>
  <c r="F173" i="22"/>
  <c r="D174" i="22"/>
  <c r="E174" i="22"/>
  <c r="G173" i="22"/>
  <c r="P181" i="31"/>
  <c r="N182" i="31"/>
  <c r="O182" i="31"/>
  <c r="F174" i="22" l="1"/>
  <c r="E175" i="22"/>
  <c r="G174" i="22"/>
  <c r="D175" i="22"/>
  <c r="F177" i="31"/>
  <c r="E178" i="31"/>
  <c r="Q177" i="31"/>
  <c r="G177" i="31"/>
  <c r="D178" i="31"/>
  <c r="P182" i="31"/>
  <c r="N183" i="31"/>
  <c r="O183" i="31"/>
  <c r="F178" i="31" l="1"/>
  <c r="E179" i="31"/>
  <c r="G178" i="31"/>
  <c r="Q178" i="31"/>
  <c r="D179" i="31"/>
  <c r="F175" i="22"/>
  <c r="G175" i="22"/>
  <c r="D176" i="22"/>
  <c r="E176" i="22"/>
  <c r="P183" i="31"/>
  <c r="N184" i="31"/>
  <c r="O184" i="31"/>
  <c r="F176" i="22" l="1"/>
  <c r="G176" i="22"/>
  <c r="D177" i="22"/>
  <c r="E177" i="22"/>
  <c r="F179" i="31"/>
  <c r="E180" i="31"/>
  <c r="D180" i="31"/>
  <c r="G179" i="31"/>
  <c r="Q179" i="31"/>
  <c r="P184" i="31"/>
  <c r="O185" i="31"/>
  <c r="N185" i="31"/>
  <c r="F180" i="31" l="1"/>
  <c r="Q180" i="31"/>
  <c r="G180" i="31"/>
  <c r="D181" i="31"/>
  <c r="E181" i="31"/>
  <c r="F177" i="22"/>
  <c r="D178" i="22"/>
  <c r="E178" i="22"/>
  <c r="G177" i="22"/>
  <c r="P185" i="31"/>
  <c r="N186" i="31"/>
  <c r="O186" i="31"/>
  <c r="F181" i="31" l="1"/>
  <c r="Q181" i="31"/>
  <c r="G181" i="31"/>
  <c r="E182" i="31"/>
  <c r="D182" i="31"/>
  <c r="F178" i="22"/>
  <c r="D179" i="22"/>
  <c r="E179" i="22"/>
  <c r="G178" i="22"/>
  <c r="P186" i="31"/>
  <c r="O187" i="31"/>
  <c r="N187" i="31"/>
  <c r="F179" i="22" l="1"/>
  <c r="G179" i="22"/>
  <c r="D180" i="22"/>
  <c r="E180" i="22"/>
  <c r="F182" i="31"/>
  <c r="Q182" i="31"/>
  <c r="D183" i="31"/>
  <c r="G182" i="31"/>
  <c r="E183" i="31"/>
  <c r="P187" i="31"/>
  <c r="N188" i="31"/>
  <c r="O188" i="31"/>
  <c r="F183" i="31" l="1"/>
  <c r="G183" i="31"/>
  <c r="Q183" i="31"/>
  <c r="D184" i="31"/>
  <c r="E184" i="31"/>
  <c r="F180" i="22"/>
  <c r="E181" i="22"/>
  <c r="G180" i="22"/>
  <c r="D181" i="22"/>
  <c r="P188" i="31"/>
  <c r="O189" i="31"/>
  <c r="N189" i="31"/>
  <c r="F181" i="22" l="1"/>
  <c r="E182" i="22"/>
  <c r="D182" i="22"/>
  <c r="G181" i="22"/>
  <c r="F184" i="31"/>
  <c r="E185" i="31"/>
  <c r="G184" i="31"/>
  <c r="D185" i="31"/>
  <c r="Q184" i="31"/>
  <c r="P189" i="31"/>
  <c r="N190" i="31"/>
  <c r="O190" i="31"/>
  <c r="F185" i="31" l="1"/>
  <c r="G185" i="31"/>
  <c r="E186" i="31"/>
  <c r="D186" i="31"/>
  <c r="Q185" i="31"/>
  <c r="F182" i="22"/>
  <c r="E183" i="22"/>
  <c r="G182" i="22"/>
  <c r="D183" i="22"/>
  <c r="P190" i="31"/>
  <c r="N191" i="31"/>
  <c r="O191" i="31"/>
  <c r="F183" i="22" l="1"/>
  <c r="E184" i="22"/>
  <c r="G183" i="22"/>
  <c r="D184" i="22"/>
  <c r="F186" i="31"/>
  <c r="D187" i="31"/>
  <c r="Q186" i="31"/>
  <c r="E187" i="31"/>
  <c r="G186" i="31"/>
  <c r="P191" i="31"/>
  <c r="N192" i="31"/>
  <c r="O192" i="31"/>
  <c r="F187" i="31" l="1"/>
  <c r="G187" i="31"/>
  <c r="Q187" i="31"/>
  <c r="D188" i="31"/>
  <c r="E188" i="31"/>
  <c r="F184" i="22"/>
  <c r="E185" i="22"/>
  <c r="D185" i="22"/>
  <c r="G184" i="22"/>
  <c r="P192" i="31"/>
  <c r="O193" i="31"/>
  <c r="N193" i="31"/>
  <c r="F185" i="22" l="1"/>
  <c r="D186" i="22"/>
  <c r="G185" i="22"/>
  <c r="E186" i="22"/>
  <c r="F188" i="31"/>
  <c r="E189" i="31"/>
  <c r="D189" i="31"/>
  <c r="Q188" i="31"/>
  <c r="G188" i="31"/>
  <c r="P193" i="31"/>
  <c r="N194" i="31"/>
  <c r="O194" i="31"/>
  <c r="F189" i="31" l="1"/>
  <c r="Q189" i="31"/>
  <c r="G189" i="31"/>
  <c r="D190" i="31"/>
  <c r="E190" i="31"/>
  <c r="F186" i="22"/>
  <c r="D187" i="22"/>
  <c r="E187" i="22"/>
  <c r="G186" i="22"/>
  <c r="P194" i="31"/>
  <c r="N195" i="31"/>
  <c r="O195" i="31"/>
  <c r="F190" i="31" l="1"/>
  <c r="G190" i="31"/>
  <c r="Q190" i="31"/>
  <c r="E191" i="31"/>
  <c r="D191" i="31"/>
  <c r="F187" i="22"/>
  <c r="D188" i="22"/>
  <c r="E188" i="22"/>
  <c r="G187" i="22"/>
  <c r="P195" i="31"/>
  <c r="O196" i="31"/>
  <c r="N196" i="31"/>
  <c r="F191" i="31" l="1"/>
  <c r="G191" i="31"/>
  <c r="D192" i="31"/>
  <c r="E192" i="31"/>
  <c r="Q191" i="31"/>
  <c r="F188" i="22"/>
  <c r="D189" i="22"/>
  <c r="E189" i="22"/>
  <c r="G188" i="22"/>
  <c r="P196" i="31"/>
  <c r="N197" i="31"/>
  <c r="O197" i="31"/>
  <c r="F189" i="22" l="1"/>
  <c r="G189" i="22"/>
  <c r="D190" i="22"/>
  <c r="E190" i="22"/>
  <c r="F192" i="31"/>
  <c r="G192" i="31"/>
  <c r="E193" i="31"/>
  <c r="Q192" i="31"/>
  <c r="D193" i="31"/>
  <c r="P197" i="31"/>
  <c r="N198" i="31"/>
  <c r="O198" i="31"/>
  <c r="F193" i="31" l="1"/>
  <c r="D194" i="31"/>
  <c r="G193" i="31"/>
  <c r="Q193" i="31"/>
  <c r="E194" i="31"/>
  <c r="F190" i="22"/>
  <c r="E191" i="22"/>
  <c r="G190" i="22"/>
  <c r="D191" i="22"/>
  <c r="P198" i="31"/>
  <c r="N199" i="31"/>
  <c r="O199" i="31"/>
  <c r="F191" i="22" l="1"/>
  <c r="D192" i="22"/>
  <c r="E192" i="22"/>
  <c r="G191" i="22"/>
  <c r="F194" i="31"/>
  <c r="Q194" i="31"/>
  <c r="D195" i="31"/>
  <c r="E195" i="31"/>
  <c r="G194" i="31"/>
  <c r="P199" i="31"/>
  <c r="O200" i="31"/>
  <c r="N200" i="31"/>
  <c r="F195" i="31" l="1"/>
  <c r="Q195" i="31"/>
  <c r="G195" i="31"/>
  <c r="D196" i="31"/>
  <c r="E196" i="31"/>
  <c r="F192" i="22"/>
  <c r="E193" i="22"/>
  <c r="D193" i="22"/>
  <c r="G192" i="22"/>
  <c r="P200" i="31"/>
  <c r="O201" i="31"/>
  <c r="N201" i="31"/>
  <c r="F196" i="31" l="1"/>
  <c r="G196" i="31"/>
  <c r="Q196" i="31"/>
  <c r="E197" i="31"/>
  <c r="D197" i="31"/>
  <c r="F193" i="22"/>
  <c r="G193" i="22"/>
  <c r="E194" i="22"/>
  <c r="D194" i="22"/>
  <c r="P201" i="31"/>
  <c r="O202" i="31"/>
  <c r="N202" i="31"/>
  <c r="F197" i="31" l="1"/>
  <c r="G197" i="31"/>
  <c r="Q197" i="31"/>
  <c r="D198" i="31"/>
  <c r="E198" i="31"/>
  <c r="F194" i="22"/>
  <c r="D195" i="22"/>
  <c r="G194" i="22"/>
  <c r="E195" i="22"/>
  <c r="P202" i="31"/>
  <c r="N203" i="31"/>
  <c r="O203" i="31"/>
  <c r="F198" i="31" l="1"/>
  <c r="D199" i="31"/>
  <c r="G198" i="31"/>
  <c r="Q198" i="31"/>
  <c r="E199" i="31"/>
  <c r="F195" i="22"/>
  <c r="D196" i="22"/>
  <c r="E196" i="22"/>
  <c r="G195" i="22"/>
  <c r="P203" i="31"/>
  <c r="O204" i="31"/>
  <c r="N204" i="31"/>
  <c r="F196" i="22" l="1"/>
  <c r="E197" i="22"/>
  <c r="G196" i="22"/>
  <c r="D197" i="22"/>
  <c r="F199" i="31"/>
  <c r="D200" i="31"/>
  <c r="G199" i="31"/>
  <c r="E200" i="31"/>
  <c r="Q199" i="31"/>
  <c r="P204" i="31"/>
  <c r="N205" i="31"/>
  <c r="O205" i="31"/>
  <c r="F197" i="22" l="1"/>
  <c r="E198" i="22"/>
  <c r="D198" i="22"/>
  <c r="G197" i="22"/>
  <c r="F200" i="31"/>
  <c r="D201" i="31"/>
  <c r="G200" i="31"/>
  <c r="Q200" i="31"/>
  <c r="E201" i="31"/>
  <c r="P205" i="31"/>
  <c r="O206" i="31"/>
  <c r="N206" i="31"/>
  <c r="F201" i="31" l="1"/>
  <c r="G201" i="31"/>
  <c r="Q201" i="31"/>
  <c r="E202" i="31"/>
  <c r="D202" i="31"/>
  <c r="F198" i="22"/>
  <c r="E199" i="22"/>
  <c r="G198" i="22"/>
  <c r="D199" i="22"/>
  <c r="P206" i="31"/>
  <c r="O207" i="31"/>
  <c r="N207" i="31"/>
  <c r="F199" i="22" l="1"/>
  <c r="D200" i="22"/>
  <c r="E200" i="22"/>
  <c r="G199" i="22"/>
  <c r="F202" i="31"/>
  <c r="D203" i="31"/>
  <c r="Q202" i="31"/>
  <c r="G202" i="31"/>
  <c r="E203" i="31"/>
  <c r="P207" i="31"/>
  <c r="N208" i="31"/>
  <c r="O208" i="31"/>
  <c r="F200" i="22" l="1"/>
  <c r="E201" i="22"/>
  <c r="D201" i="22"/>
  <c r="G200" i="22"/>
  <c r="F203" i="31"/>
  <c r="D204" i="31"/>
  <c r="Q203" i="31"/>
  <c r="E204" i="31"/>
  <c r="G203" i="31"/>
  <c r="P208" i="31"/>
  <c r="N209" i="31"/>
  <c r="O209" i="31"/>
  <c r="F201" i="22" l="1"/>
  <c r="E202" i="22"/>
  <c r="G201" i="22"/>
  <c r="D202" i="22"/>
  <c r="F204" i="31"/>
  <c r="Q204" i="31"/>
  <c r="G204" i="31"/>
  <c r="D205" i="31"/>
  <c r="E205" i="31"/>
  <c r="P209" i="31"/>
  <c r="N210" i="31"/>
  <c r="O210" i="31"/>
  <c r="F205" i="31" l="1"/>
  <c r="Q205" i="31"/>
  <c r="G205" i="31"/>
  <c r="D206" i="31"/>
  <c r="E206" i="31"/>
  <c r="F202" i="22"/>
  <c r="E203" i="22"/>
  <c r="G202" i="22"/>
  <c r="D203" i="22"/>
  <c r="P210" i="31"/>
  <c r="N211" i="31"/>
  <c r="O211" i="31"/>
  <c r="F203" i="22" l="1"/>
  <c r="E204" i="22"/>
  <c r="G203" i="22"/>
  <c r="D204" i="22"/>
  <c r="F206" i="31"/>
  <c r="D207" i="31"/>
  <c r="G206" i="31"/>
  <c r="Q206" i="31"/>
  <c r="E207" i="31"/>
  <c r="P211" i="31"/>
  <c r="N212" i="31"/>
  <c r="O212" i="31"/>
  <c r="F204" i="22" l="1"/>
  <c r="G204" i="22"/>
  <c r="D205" i="22"/>
  <c r="E205" i="22"/>
  <c r="F207" i="31"/>
  <c r="Q207" i="31"/>
  <c r="D208" i="31"/>
  <c r="G207" i="31"/>
  <c r="E208" i="31"/>
  <c r="P212" i="31"/>
  <c r="N213" i="31"/>
  <c r="O213" i="31"/>
  <c r="F208" i="31" l="1"/>
  <c r="Q208" i="31"/>
  <c r="G208" i="31"/>
  <c r="D209" i="31"/>
  <c r="E209" i="31"/>
  <c r="F205" i="22"/>
  <c r="G205" i="22"/>
  <c r="E206" i="22"/>
  <c r="D206" i="22"/>
  <c r="P213" i="31"/>
  <c r="O214" i="31"/>
  <c r="N214" i="31"/>
  <c r="F206" i="22" l="1"/>
  <c r="E207" i="22"/>
  <c r="D207" i="22"/>
  <c r="G206" i="22"/>
  <c r="F209" i="31"/>
  <c r="E210" i="31"/>
  <c r="D210" i="31"/>
  <c r="G209" i="31"/>
  <c r="Q209" i="31"/>
  <c r="P214" i="31"/>
  <c r="O215" i="31"/>
  <c r="N215" i="31"/>
  <c r="F210" i="31" l="1"/>
  <c r="Q210" i="31"/>
  <c r="D211" i="31"/>
  <c r="G210" i="31"/>
  <c r="E211" i="31"/>
  <c r="F207" i="22"/>
  <c r="E208" i="22"/>
  <c r="D208" i="22"/>
  <c r="G207" i="22"/>
  <c r="P215" i="31"/>
  <c r="N216" i="31"/>
  <c r="O216" i="31"/>
  <c r="F208" i="22" l="1"/>
  <c r="D209" i="22"/>
  <c r="E209" i="22"/>
  <c r="G208" i="22"/>
  <c r="F211" i="31"/>
  <c r="G211" i="31"/>
  <c r="E212" i="31"/>
  <c r="Q211" i="31"/>
  <c r="D212" i="31"/>
  <c r="P216" i="31"/>
  <c r="O217" i="31"/>
  <c r="N217" i="31"/>
  <c r="F212" i="31" l="1"/>
  <c r="Q212" i="31"/>
  <c r="D213" i="31"/>
  <c r="G212" i="31"/>
  <c r="E213" i="31"/>
  <c r="F209" i="22"/>
  <c r="G209" i="22"/>
  <c r="D210" i="22"/>
  <c r="E210" i="22"/>
  <c r="P217" i="31"/>
  <c r="O218" i="31"/>
  <c r="N218" i="31"/>
  <c r="F210" i="22" l="1"/>
  <c r="E211" i="22"/>
  <c r="G210" i="22"/>
  <c r="D211" i="22"/>
  <c r="F213" i="31"/>
  <c r="D214" i="31"/>
  <c r="G213" i="31"/>
  <c r="E214" i="31"/>
  <c r="Q213" i="31"/>
  <c r="P218" i="31"/>
  <c r="N219" i="31"/>
  <c r="O219" i="31"/>
  <c r="F211" i="22" l="1"/>
  <c r="G211" i="22"/>
  <c r="E212" i="22"/>
  <c r="D212" i="22"/>
  <c r="F214" i="31"/>
  <c r="Q214" i="31"/>
  <c r="E215" i="31"/>
  <c r="D215" i="31"/>
  <c r="G214" i="31"/>
  <c r="P219" i="31"/>
  <c r="O220" i="31"/>
  <c r="N220" i="31"/>
  <c r="F212" i="22" l="1"/>
  <c r="E213" i="22"/>
  <c r="D213" i="22"/>
  <c r="G212" i="22"/>
  <c r="F215" i="31"/>
  <c r="G215" i="31"/>
  <c r="Q215" i="31"/>
  <c r="E216" i="31"/>
  <c r="D216" i="31"/>
  <c r="P220" i="31"/>
  <c r="O221" i="31"/>
  <c r="N221" i="31"/>
  <c r="F216" i="31" l="1"/>
  <c r="Q216" i="31"/>
  <c r="D217" i="31"/>
  <c r="G216" i="31"/>
  <c r="E217" i="31"/>
  <c r="F213" i="22"/>
  <c r="E214" i="22"/>
  <c r="D214" i="22"/>
  <c r="G213" i="22"/>
  <c r="P221" i="31"/>
  <c r="N222" i="31"/>
  <c r="O222" i="31"/>
  <c r="F214" i="22" l="1"/>
  <c r="D215" i="22"/>
  <c r="E215" i="22"/>
  <c r="G214" i="22"/>
  <c r="F217" i="31"/>
  <c r="Q217" i="31"/>
  <c r="D218" i="31"/>
  <c r="G217" i="31"/>
  <c r="E218" i="31"/>
  <c r="P222" i="31"/>
  <c r="O223" i="31"/>
  <c r="N223" i="31"/>
  <c r="F218" i="31" l="1"/>
  <c r="E219" i="31"/>
  <c r="D219" i="31"/>
  <c r="Q218" i="31"/>
  <c r="G218" i="31"/>
  <c r="F215" i="22"/>
  <c r="E216" i="22"/>
  <c r="D216" i="22"/>
  <c r="G215" i="22"/>
  <c r="P223" i="31"/>
  <c r="O224" i="31"/>
  <c r="N224" i="31"/>
  <c r="F216" i="22" l="1"/>
  <c r="E217" i="22"/>
  <c r="D217" i="22"/>
  <c r="G216" i="22"/>
  <c r="F219" i="31"/>
  <c r="Q219" i="31"/>
  <c r="G219" i="31"/>
  <c r="E220" i="31"/>
  <c r="D220" i="31"/>
  <c r="P224" i="31"/>
  <c r="O225" i="31"/>
  <c r="N225" i="31"/>
  <c r="F220" i="31" l="1"/>
  <c r="G220" i="31"/>
  <c r="Q220" i="31"/>
  <c r="E221" i="31"/>
  <c r="D221" i="31"/>
  <c r="F217" i="22"/>
  <c r="E218" i="22"/>
  <c r="D218" i="22"/>
  <c r="G217" i="22"/>
  <c r="P225" i="31"/>
  <c r="O226" i="31"/>
  <c r="N226" i="31"/>
  <c r="F218" i="22" l="1"/>
  <c r="E219" i="22"/>
  <c r="D219" i="22"/>
  <c r="G218" i="22"/>
  <c r="F221" i="31"/>
  <c r="D222" i="31"/>
  <c r="E222" i="31"/>
  <c r="G221" i="31"/>
  <c r="Q221" i="31"/>
  <c r="P226" i="31"/>
  <c r="O227" i="31"/>
  <c r="N227" i="31"/>
  <c r="F219" i="22" l="1"/>
  <c r="D220" i="22"/>
  <c r="E220" i="22"/>
  <c r="G219" i="22"/>
  <c r="F222" i="31"/>
  <c r="E223" i="31"/>
  <c r="D223" i="31"/>
  <c r="G222" i="31"/>
  <c r="Q222" i="31"/>
  <c r="P227" i="31"/>
  <c r="O228" i="31"/>
  <c r="N228" i="31"/>
  <c r="F223" i="31" l="1"/>
  <c r="G223" i="31"/>
  <c r="Q223" i="31"/>
  <c r="E224" i="31"/>
  <c r="D224" i="31"/>
  <c r="F220" i="22"/>
  <c r="D221" i="22"/>
  <c r="E221" i="22"/>
  <c r="G220" i="22"/>
  <c r="P228" i="31"/>
  <c r="N229" i="31"/>
  <c r="O229" i="31"/>
  <c r="F221" i="22" l="1"/>
  <c r="D222" i="22"/>
  <c r="E222" i="22"/>
  <c r="G221" i="22"/>
  <c r="F224" i="31"/>
  <c r="D225" i="31"/>
  <c r="G224" i="31"/>
  <c r="E225" i="31"/>
  <c r="Q224" i="31"/>
  <c r="P229" i="31"/>
  <c r="O230" i="31"/>
  <c r="N230" i="31"/>
  <c r="F222" i="22" l="1"/>
  <c r="E223" i="22"/>
  <c r="G222" i="22"/>
  <c r="D223" i="22"/>
  <c r="F225" i="31"/>
  <c r="E226" i="31"/>
  <c r="Q225" i="31"/>
  <c r="G225" i="31"/>
  <c r="D226" i="31"/>
  <c r="P230" i="31"/>
  <c r="N231" i="31"/>
  <c r="O231" i="31"/>
  <c r="F226" i="31" l="1"/>
  <c r="E227" i="31"/>
  <c r="D227" i="31"/>
  <c r="Q226" i="31"/>
  <c r="G226" i="31"/>
  <c r="F223" i="22"/>
  <c r="E224" i="22"/>
  <c r="D224" i="22"/>
  <c r="G223" i="22"/>
  <c r="P231" i="31"/>
  <c r="O232" i="31"/>
  <c r="N232" i="31"/>
  <c r="F224" i="22" l="1"/>
  <c r="E225" i="22"/>
  <c r="G224" i="22"/>
  <c r="D225" i="22"/>
  <c r="F227" i="31"/>
  <c r="E228" i="31"/>
  <c r="G227" i="31"/>
  <c r="Q227" i="31"/>
  <c r="D228" i="31"/>
  <c r="P232" i="31"/>
  <c r="O233" i="31"/>
  <c r="N233" i="31"/>
  <c r="F225" i="22" l="1"/>
  <c r="D226" i="22"/>
  <c r="G225" i="22"/>
  <c r="E226" i="22"/>
  <c r="F228" i="31"/>
  <c r="Q228" i="31"/>
  <c r="D229" i="31"/>
  <c r="E229" i="31"/>
  <c r="G228" i="31"/>
  <c r="P233" i="31"/>
  <c r="N234" i="31"/>
  <c r="O234" i="31"/>
  <c r="F229" i="31" l="1"/>
  <c r="G229" i="31"/>
  <c r="D230" i="31"/>
  <c r="E230" i="31"/>
  <c r="Q229" i="31"/>
  <c r="F226" i="22"/>
  <c r="D227" i="22"/>
  <c r="E227" i="22"/>
  <c r="G226" i="22"/>
  <c r="P234" i="31"/>
  <c r="O235" i="31"/>
  <c r="N235" i="31"/>
  <c r="F227" i="22" l="1"/>
  <c r="D228" i="22"/>
  <c r="E228" i="22"/>
  <c r="G227" i="22"/>
  <c r="F230" i="31"/>
  <c r="G230" i="31"/>
  <c r="E231" i="31"/>
  <c r="D231" i="31"/>
  <c r="Q230" i="31"/>
  <c r="P235" i="31"/>
  <c r="O236" i="31"/>
  <c r="N236" i="31"/>
  <c r="F231" i="31" l="1"/>
  <c r="Q231" i="31"/>
  <c r="D232" i="31"/>
  <c r="G231" i="31"/>
  <c r="E232" i="31"/>
  <c r="F228" i="22"/>
  <c r="E229" i="22"/>
  <c r="D229" i="22"/>
  <c r="G228" i="22"/>
  <c r="P236" i="31"/>
  <c r="N237" i="31"/>
  <c r="O237" i="31"/>
  <c r="F229" i="22" l="1"/>
  <c r="E230" i="22"/>
  <c r="D230" i="22"/>
  <c r="G229" i="22"/>
  <c r="F232" i="31"/>
  <c r="Q232" i="31"/>
  <c r="E233" i="31"/>
  <c r="D233" i="31"/>
  <c r="G232" i="31"/>
  <c r="P237" i="31"/>
  <c r="O238" i="31"/>
  <c r="N238" i="31"/>
  <c r="F233" i="31" l="1"/>
  <c r="E234" i="31"/>
  <c r="Q233" i="31"/>
  <c r="D234" i="31"/>
  <c r="G233" i="31"/>
  <c r="F230" i="22"/>
  <c r="D231" i="22"/>
  <c r="E231" i="22"/>
  <c r="G230" i="22"/>
  <c r="P238" i="31"/>
  <c r="N239" i="31"/>
  <c r="O239" i="31"/>
  <c r="F234" i="31" l="1"/>
  <c r="Q234" i="31"/>
  <c r="G234" i="31"/>
  <c r="E235" i="31"/>
  <c r="D235" i="31"/>
  <c r="F231" i="22"/>
  <c r="E232" i="22"/>
  <c r="D232" i="22"/>
  <c r="G231" i="22"/>
  <c r="P239" i="31"/>
  <c r="N240" i="31"/>
  <c r="O240" i="31"/>
  <c r="F235" i="31" l="1"/>
  <c r="Q235" i="31"/>
  <c r="G235" i="31"/>
  <c r="E236" i="31"/>
  <c r="D236" i="31"/>
  <c r="F232" i="22"/>
  <c r="E233" i="22"/>
  <c r="D233" i="22"/>
  <c r="G232" i="22"/>
  <c r="P240" i="31"/>
  <c r="O241" i="31"/>
  <c r="N241" i="31"/>
  <c r="F236" i="31" l="1"/>
  <c r="D237" i="31"/>
  <c r="E237" i="31"/>
  <c r="Q236" i="31"/>
  <c r="G236" i="31"/>
  <c r="F233" i="22"/>
  <c r="D234" i="22"/>
  <c r="E234" i="22"/>
  <c r="G233" i="22"/>
  <c r="P241" i="31"/>
  <c r="N242" i="31"/>
  <c r="O242" i="31"/>
  <c r="F234" i="22" l="1"/>
  <c r="G234" i="22"/>
  <c r="D235" i="22"/>
  <c r="E235" i="22"/>
  <c r="F237" i="31"/>
  <c r="G237" i="31"/>
  <c r="Q237" i="31"/>
  <c r="D238" i="31"/>
  <c r="E238" i="31"/>
  <c r="P242" i="31"/>
  <c r="O243" i="31"/>
  <c r="N243" i="31"/>
  <c r="F238" i="31" l="1"/>
  <c r="G238" i="31"/>
  <c r="Q238" i="31"/>
  <c r="D239" i="31"/>
  <c r="E239" i="31"/>
  <c r="F235" i="22"/>
  <c r="G235" i="22"/>
  <c r="E236" i="22"/>
  <c r="D236" i="22"/>
  <c r="P243" i="31"/>
  <c r="O244" i="31"/>
  <c r="N244" i="31"/>
  <c r="F236" i="22" l="1"/>
  <c r="G236" i="22"/>
  <c r="E237" i="22"/>
  <c r="D237" i="22"/>
  <c r="F239" i="31"/>
  <c r="D240" i="31"/>
  <c r="Q239" i="31"/>
  <c r="G239" i="31"/>
  <c r="E240" i="31"/>
  <c r="P244" i="31"/>
  <c r="O245" i="31"/>
  <c r="N245" i="31"/>
  <c r="F237" i="22" l="1"/>
  <c r="G237" i="22"/>
  <c r="D238" i="22"/>
  <c r="E238" i="22"/>
  <c r="F240" i="31"/>
  <c r="G240" i="31"/>
  <c r="Q240" i="31"/>
  <c r="D241" i="31"/>
  <c r="E241" i="31"/>
  <c r="P245" i="31"/>
  <c r="N246" i="31"/>
  <c r="O246" i="31"/>
  <c r="F241" i="31" l="1"/>
  <c r="Q241" i="31"/>
  <c r="G241" i="31"/>
  <c r="D242" i="31"/>
  <c r="E242" i="31"/>
  <c r="F238" i="22"/>
  <c r="E239" i="22"/>
  <c r="D239" i="22"/>
  <c r="G238" i="22"/>
  <c r="P246" i="31"/>
  <c r="O247" i="31"/>
  <c r="N247" i="31"/>
  <c r="F242" i="31" l="1"/>
  <c r="Q242" i="31"/>
  <c r="G242" i="31"/>
  <c r="E243" i="31"/>
  <c r="D243" i="31"/>
  <c r="F239" i="22"/>
  <c r="D240" i="22"/>
  <c r="G239" i="22"/>
  <c r="E240" i="22"/>
  <c r="P247" i="31"/>
  <c r="N248" i="31"/>
  <c r="O248" i="31"/>
  <c r="F240" i="22" l="1"/>
  <c r="D241" i="22"/>
  <c r="G240" i="22"/>
  <c r="E241" i="22"/>
  <c r="F243" i="31"/>
  <c r="G243" i="31"/>
  <c r="Q243" i="31"/>
  <c r="E244" i="31"/>
  <c r="D244" i="31"/>
  <c r="P248" i="31"/>
  <c r="N249" i="31"/>
  <c r="O249" i="31"/>
  <c r="F244" i="31" l="1"/>
  <c r="Q244" i="31"/>
  <c r="D245" i="31"/>
  <c r="G244" i="31"/>
  <c r="E245" i="31"/>
  <c r="F241" i="22"/>
  <c r="D242" i="22"/>
  <c r="E242" i="22"/>
  <c r="G241" i="22"/>
  <c r="P249" i="31"/>
  <c r="N250" i="31"/>
  <c r="O250" i="31"/>
  <c r="F242" i="22" l="1"/>
  <c r="G242" i="22"/>
  <c r="D243" i="22"/>
  <c r="E243" i="22"/>
  <c r="F245" i="31"/>
  <c r="Q245" i="31"/>
  <c r="G245" i="31"/>
  <c r="E246" i="31"/>
  <c r="D246" i="31"/>
  <c r="P250" i="31"/>
  <c r="N251" i="31"/>
  <c r="O251" i="31"/>
  <c r="F243" i="22" l="1"/>
  <c r="D244" i="22"/>
  <c r="E244" i="22"/>
  <c r="G5" i="22" s="1"/>
  <c r="G243" i="22"/>
  <c r="F246" i="31"/>
  <c r="G246" i="31"/>
  <c r="D247" i="31"/>
  <c r="Q246" i="31"/>
  <c r="E247" i="31"/>
  <c r="P251" i="31"/>
  <c r="N252" i="31"/>
  <c r="O252" i="31"/>
  <c r="F247" i="31" l="1"/>
  <c r="E248" i="31"/>
  <c r="D248" i="31"/>
  <c r="G247" i="31"/>
  <c r="Q247" i="31"/>
  <c r="F244" i="22"/>
  <c r="G244" i="22"/>
  <c r="D245" i="22"/>
  <c r="E245" i="22"/>
  <c r="P252" i="31"/>
  <c r="O253" i="31"/>
  <c r="N253" i="31"/>
  <c r="F245" i="22" l="1"/>
  <c r="D246" i="22"/>
  <c r="E246" i="22"/>
  <c r="G245" i="22"/>
  <c r="F248" i="31"/>
  <c r="Q248" i="31"/>
  <c r="G248" i="31"/>
  <c r="E249" i="31"/>
  <c r="D249" i="31"/>
  <c r="P253" i="31"/>
  <c r="O254" i="31"/>
  <c r="N254" i="31"/>
  <c r="F249" i="31" l="1"/>
  <c r="D250" i="31"/>
  <c r="G249" i="31"/>
  <c r="Q249" i="31"/>
  <c r="E250" i="31"/>
  <c r="F246" i="22"/>
  <c r="G246" i="22"/>
  <c r="D247" i="22"/>
  <c r="E247" i="22"/>
  <c r="P254" i="31"/>
  <c r="N255" i="31"/>
  <c r="O255" i="31"/>
  <c r="F247" i="22" l="1"/>
  <c r="E248" i="22"/>
  <c r="D248" i="22"/>
  <c r="G247" i="22"/>
  <c r="F250" i="31"/>
  <c r="G250" i="31"/>
  <c r="Q250" i="31"/>
  <c r="E251" i="31"/>
  <c r="D251" i="31"/>
  <c r="P255" i="31"/>
  <c r="N256" i="31"/>
  <c r="O256" i="31"/>
  <c r="F251" i="31" l="1"/>
  <c r="G251" i="31"/>
  <c r="Q251" i="31"/>
  <c r="D252" i="31"/>
  <c r="E252" i="31"/>
  <c r="F248" i="22"/>
  <c r="E249" i="22"/>
  <c r="D249" i="22"/>
  <c r="G248" i="22"/>
  <c r="P256" i="31"/>
  <c r="O257" i="31"/>
  <c r="N257" i="31"/>
  <c r="F252" i="31" l="1"/>
  <c r="Q252" i="31"/>
  <c r="G252" i="31"/>
  <c r="E253" i="31"/>
  <c r="D253" i="31"/>
  <c r="F249" i="22"/>
  <c r="D250" i="22"/>
  <c r="G249" i="22"/>
  <c r="E250" i="22"/>
  <c r="P257" i="31"/>
  <c r="N258" i="31"/>
  <c r="O258" i="31"/>
  <c r="F253" i="31" l="1"/>
  <c r="Q253" i="31"/>
  <c r="G253" i="31"/>
  <c r="D254" i="31"/>
  <c r="E254" i="31"/>
  <c r="F250" i="22"/>
  <c r="G250" i="22"/>
  <c r="E251" i="22"/>
  <c r="D251" i="22"/>
  <c r="P258" i="31"/>
  <c r="O259" i="31"/>
  <c r="N259" i="31"/>
  <c r="F251" i="22" l="1"/>
  <c r="E252" i="22"/>
  <c r="D252" i="22"/>
  <c r="G251" i="22"/>
  <c r="F254" i="31"/>
  <c r="Q254" i="31"/>
  <c r="E255" i="31"/>
  <c r="G254" i="31"/>
  <c r="D255" i="31"/>
  <c r="P259" i="31"/>
  <c r="O260" i="31"/>
  <c r="N260" i="31"/>
  <c r="F255" i="31" l="1"/>
  <c r="E256" i="31"/>
  <c r="D256" i="31"/>
  <c r="Q255" i="31"/>
  <c r="G255" i="31"/>
  <c r="F252" i="22"/>
  <c r="D253" i="22"/>
  <c r="G252" i="22"/>
  <c r="E253" i="22"/>
  <c r="P260" i="31"/>
  <c r="O261" i="31"/>
  <c r="N261" i="31"/>
  <c r="F253" i="22" l="1"/>
  <c r="D254" i="22"/>
  <c r="G253" i="22"/>
  <c r="E254" i="22"/>
  <c r="F256" i="31"/>
  <c r="G256" i="31"/>
  <c r="Q256" i="31"/>
  <c r="E257" i="31"/>
  <c r="D257" i="31"/>
  <c r="P261" i="31"/>
  <c r="N262" i="31"/>
  <c r="O262" i="31"/>
  <c r="F257" i="31" l="1"/>
  <c r="D258" i="31"/>
  <c r="G257" i="31"/>
  <c r="E258" i="31"/>
  <c r="Q257" i="31"/>
  <c r="F254" i="22"/>
  <c r="D255" i="22"/>
  <c r="E255" i="22"/>
  <c r="G254" i="22"/>
  <c r="P262" i="31"/>
  <c r="N263" i="31"/>
  <c r="O263" i="31"/>
  <c r="F255" i="22" l="1"/>
  <c r="D256" i="22"/>
  <c r="E256" i="22"/>
  <c r="G255" i="22"/>
  <c r="F258" i="31"/>
  <c r="Q258" i="31"/>
  <c r="G258" i="31"/>
  <c r="D259" i="31"/>
  <c r="E259" i="31"/>
  <c r="P263" i="31"/>
  <c r="O264" i="31"/>
  <c r="N264" i="31"/>
  <c r="F259" i="31" l="1"/>
  <c r="G259" i="31"/>
  <c r="Q259" i="31"/>
  <c r="D260" i="31"/>
  <c r="E260" i="31"/>
  <c r="F256" i="22"/>
  <c r="E257" i="22"/>
  <c r="D257" i="22"/>
  <c r="G256" i="22"/>
  <c r="P264" i="31"/>
  <c r="N265" i="31"/>
  <c r="O265" i="31"/>
  <c r="F260" i="31" l="1"/>
  <c r="Q260" i="31"/>
  <c r="E261" i="31"/>
  <c r="D261" i="31"/>
  <c r="G260" i="31"/>
  <c r="F257" i="22"/>
  <c r="E258" i="22"/>
  <c r="D258" i="22"/>
  <c r="G257" i="22"/>
  <c r="P265" i="31"/>
  <c r="O266" i="31"/>
  <c r="N266" i="31"/>
  <c r="F258" i="22" l="1"/>
  <c r="E259" i="22"/>
  <c r="D259" i="22"/>
  <c r="G258" i="22"/>
  <c r="F261" i="31"/>
  <c r="D262" i="31"/>
  <c r="G261" i="31"/>
  <c r="E262" i="31"/>
  <c r="Q261" i="31"/>
  <c r="P266" i="31"/>
  <c r="N267" i="31"/>
  <c r="O267" i="31"/>
  <c r="F262" i="31" l="1"/>
  <c r="E263" i="31"/>
  <c r="Q262" i="31"/>
  <c r="G262" i="31"/>
  <c r="D263" i="31"/>
  <c r="F259" i="22"/>
  <c r="G259" i="22"/>
  <c r="D260" i="22"/>
  <c r="E260" i="22"/>
  <c r="P267" i="31"/>
  <c r="O268" i="31"/>
  <c r="N268" i="31"/>
  <c r="F263" i="31" l="1"/>
  <c r="Q263" i="31"/>
  <c r="D264" i="31"/>
  <c r="G263" i="31"/>
  <c r="E264" i="31"/>
  <c r="F260" i="22"/>
  <c r="E261" i="22"/>
  <c r="D261" i="22"/>
  <c r="G260" i="22"/>
  <c r="P268" i="31"/>
  <c r="O269" i="31"/>
  <c r="N269" i="31"/>
  <c r="F261" i="22" l="1"/>
  <c r="D262" i="22"/>
  <c r="G261" i="22"/>
  <c r="E262" i="22"/>
  <c r="F264" i="31"/>
  <c r="G264" i="31"/>
  <c r="Q264" i="31"/>
  <c r="D265" i="31"/>
  <c r="E265" i="31"/>
  <c r="P269" i="31"/>
  <c r="O270" i="31"/>
  <c r="N270" i="31"/>
  <c r="F265" i="31" l="1"/>
  <c r="D266" i="31"/>
  <c r="E266" i="31"/>
  <c r="Q265" i="31"/>
  <c r="G265" i="31"/>
  <c r="F262" i="22"/>
  <c r="E263" i="22"/>
  <c r="G262" i="22"/>
  <c r="D263" i="22"/>
  <c r="P270" i="31"/>
  <c r="O271" i="31"/>
  <c r="N271" i="31"/>
  <c r="F263" i="22" l="1"/>
  <c r="E264" i="22"/>
  <c r="D264" i="22"/>
  <c r="G263" i="22"/>
  <c r="F266" i="31"/>
  <c r="Q266" i="31"/>
  <c r="E267" i="31"/>
  <c r="G266" i="31"/>
  <c r="D267" i="31"/>
  <c r="P271" i="31"/>
  <c r="O272" i="31"/>
  <c r="N272" i="31"/>
  <c r="F267" i="31" l="1"/>
  <c r="Q267" i="31"/>
  <c r="E268" i="31"/>
  <c r="G267" i="31"/>
  <c r="D268" i="31"/>
  <c r="F264" i="22"/>
  <c r="D265" i="22"/>
  <c r="G264" i="22"/>
  <c r="E265" i="22"/>
  <c r="P272" i="31"/>
  <c r="N273" i="31"/>
  <c r="O273" i="31"/>
  <c r="F265" i="22" l="1"/>
  <c r="D266" i="22"/>
  <c r="E266" i="22"/>
  <c r="G265" i="22"/>
  <c r="F268" i="31"/>
  <c r="Q268" i="31"/>
  <c r="G268" i="31"/>
  <c r="E269" i="31"/>
  <c r="D269" i="31"/>
  <c r="P273" i="31"/>
  <c r="O274" i="31"/>
  <c r="N274" i="31"/>
  <c r="F269" i="31" l="1"/>
  <c r="E270" i="31"/>
  <c r="D270" i="31"/>
  <c r="Q269" i="31"/>
  <c r="G269" i="31"/>
  <c r="F266" i="22"/>
  <c r="E267" i="22"/>
  <c r="G266" i="22"/>
  <c r="D267" i="22"/>
  <c r="P274" i="31"/>
  <c r="N275" i="31"/>
  <c r="O275" i="31"/>
  <c r="F267" i="22" l="1"/>
  <c r="D268" i="22"/>
  <c r="G267" i="22"/>
  <c r="E268" i="22"/>
  <c r="F270" i="31"/>
  <c r="G270" i="31"/>
  <c r="E271" i="31"/>
  <c r="D271" i="31"/>
  <c r="Q270" i="31"/>
  <c r="P275" i="31"/>
  <c r="N276" i="31"/>
  <c r="O276" i="31"/>
  <c r="F271" i="31" l="1"/>
  <c r="E272" i="31"/>
  <c r="G271" i="31"/>
  <c r="Q271" i="31"/>
  <c r="D272" i="31"/>
  <c r="F268" i="22"/>
  <c r="G268" i="22"/>
  <c r="E269" i="22"/>
  <c r="D269" i="22"/>
  <c r="P276" i="31"/>
  <c r="N277" i="31"/>
  <c r="O277" i="31"/>
  <c r="F269" i="22" l="1"/>
  <c r="E270" i="22"/>
  <c r="G269" i="22"/>
  <c r="D270" i="22"/>
  <c r="F272" i="31"/>
  <c r="Q272" i="31"/>
  <c r="G272" i="31"/>
  <c r="D273" i="31"/>
  <c r="E273" i="31"/>
  <c r="P277" i="31"/>
  <c r="N278" i="31"/>
  <c r="O278" i="31"/>
  <c r="F273" i="31" l="1"/>
  <c r="Q273" i="31"/>
  <c r="D274" i="31"/>
  <c r="G273" i="31"/>
  <c r="E274" i="31"/>
  <c r="F270" i="22"/>
  <c r="E271" i="22"/>
  <c r="D271" i="22"/>
  <c r="G270" i="22"/>
  <c r="P278" i="31"/>
  <c r="N279" i="31"/>
  <c r="O279" i="31"/>
  <c r="F274" i="31" l="1"/>
  <c r="D275" i="31"/>
  <c r="Q274" i="31"/>
  <c r="E275" i="31"/>
  <c r="G274" i="31"/>
  <c r="F271" i="22"/>
  <c r="E272" i="22"/>
  <c r="G271" i="22"/>
  <c r="D272" i="22"/>
  <c r="P279" i="31"/>
  <c r="O280" i="31"/>
  <c r="N280" i="31"/>
  <c r="F272" i="22" l="1"/>
  <c r="D273" i="22"/>
  <c r="E273" i="22"/>
  <c r="G272" i="22"/>
  <c r="F275" i="31"/>
  <c r="Q275" i="31"/>
  <c r="E276" i="31"/>
  <c r="G275" i="31"/>
  <c r="D276" i="31"/>
  <c r="P280" i="31"/>
  <c r="N281" i="31"/>
  <c r="O281" i="31"/>
  <c r="F276" i="31" l="1"/>
  <c r="Q276" i="31"/>
  <c r="E277" i="31"/>
  <c r="D277" i="31"/>
  <c r="G276" i="31"/>
  <c r="F273" i="22"/>
  <c r="E274" i="22"/>
  <c r="D274" i="22"/>
  <c r="G273" i="22"/>
  <c r="P281" i="31"/>
  <c r="O282" i="31"/>
  <c r="N282" i="31"/>
  <c r="F277" i="31" l="1"/>
  <c r="Q277" i="31"/>
  <c r="D278" i="31"/>
  <c r="E278" i="31"/>
  <c r="G277" i="31"/>
  <c r="F274" i="22"/>
  <c r="E275" i="22"/>
  <c r="D275" i="22"/>
  <c r="G274" i="22"/>
  <c r="P282" i="31"/>
  <c r="O283" i="31"/>
  <c r="N283" i="31"/>
  <c r="F275" i="22" l="1"/>
  <c r="E276" i="22"/>
  <c r="G275" i="22"/>
  <c r="D276" i="22"/>
  <c r="F278" i="31"/>
  <c r="Q278" i="31"/>
  <c r="E279" i="31"/>
  <c r="G278" i="31"/>
  <c r="D279" i="31"/>
  <c r="P283" i="31"/>
  <c r="N284" i="31"/>
  <c r="O284" i="31"/>
  <c r="F276" i="22" l="1"/>
  <c r="D277" i="22"/>
  <c r="G276" i="22"/>
  <c r="E277" i="22"/>
  <c r="F279" i="31"/>
  <c r="D280" i="31"/>
  <c r="G279" i="31"/>
  <c r="E280" i="31"/>
  <c r="Q279" i="31"/>
  <c r="P284" i="31"/>
  <c r="O285" i="31"/>
  <c r="N285" i="31"/>
  <c r="F277" i="22" l="1"/>
  <c r="G277" i="22"/>
  <c r="E278" i="22"/>
  <c r="D278" i="22"/>
  <c r="F280" i="31"/>
  <c r="Q280" i="31"/>
  <c r="G280" i="31"/>
  <c r="D281" i="31"/>
  <c r="E281" i="31"/>
  <c r="P285" i="31"/>
  <c r="N286" i="31"/>
  <c r="O286" i="31"/>
  <c r="F281" i="31" l="1"/>
  <c r="G281" i="31"/>
  <c r="D282" i="31"/>
  <c r="E282" i="31"/>
  <c r="Q281" i="31"/>
  <c r="F278" i="22"/>
  <c r="D279" i="22"/>
  <c r="E279" i="22"/>
  <c r="G278" i="22"/>
  <c r="P286" i="31"/>
  <c r="O287" i="31"/>
  <c r="N287" i="31"/>
  <c r="F279" i="22" l="1"/>
  <c r="E280" i="22"/>
  <c r="G279" i="22"/>
  <c r="D280" i="22"/>
  <c r="F282" i="31"/>
  <c r="G282" i="31"/>
  <c r="Q282" i="31"/>
  <c r="D283" i="31"/>
  <c r="E283" i="31"/>
  <c r="P287" i="31"/>
  <c r="N288" i="31"/>
  <c r="O288" i="31"/>
  <c r="F283" i="31" l="1"/>
  <c r="Q283" i="31"/>
  <c r="D284" i="31"/>
  <c r="E284" i="31"/>
  <c r="G283" i="31"/>
  <c r="F280" i="22"/>
  <c r="E281" i="22"/>
  <c r="G280" i="22"/>
  <c r="D281" i="22"/>
  <c r="P288" i="31"/>
  <c r="O289" i="31"/>
  <c r="N289" i="31"/>
  <c r="F281" i="22" l="1"/>
  <c r="E282" i="22"/>
  <c r="D282" i="22"/>
  <c r="G281" i="22"/>
  <c r="F284" i="31"/>
  <c r="Q284" i="31"/>
  <c r="G284" i="31"/>
  <c r="E285" i="31"/>
  <c r="D285" i="31"/>
  <c r="P289" i="31"/>
  <c r="N290" i="31"/>
  <c r="O290" i="31"/>
  <c r="F285" i="31" l="1"/>
  <c r="Q285" i="31"/>
  <c r="G285" i="31"/>
  <c r="E286" i="31"/>
  <c r="D286" i="31"/>
  <c r="F282" i="22"/>
  <c r="D283" i="22"/>
  <c r="E283" i="22"/>
  <c r="G282" i="22"/>
  <c r="P290" i="31"/>
  <c r="N291" i="31"/>
  <c r="O291" i="31"/>
  <c r="F286" i="31" l="1"/>
  <c r="E287" i="31"/>
  <c r="Q286" i="31"/>
  <c r="G286" i="31"/>
  <c r="D287" i="31"/>
  <c r="F283" i="22"/>
  <c r="E284" i="22"/>
  <c r="D284" i="22"/>
  <c r="G283" i="22"/>
  <c r="P291" i="31"/>
  <c r="N292" i="31"/>
  <c r="O292" i="31"/>
  <c r="F287" i="31" l="1"/>
  <c r="G287" i="31"/>
  <c r="D288" i="31"/>
  <c r="E288" i="31"/>
  <c r="Q287" i="31"/>
  <c r="F284" i="22"/>
  <c r="D285" i="22"/>
  <c r="G284" i="22"/>
  <c r="E285" i="22"/>
  <c r="P292" i="31"/>
  <c r="O293" i="31"/>
  <c r="N293" i="31"/>
  <c r="F285" i="22" l="1"/>
  <c r="E286" i="22"/>
  <c r="G285" i="22"/>
  <c r="D286" i="22"/>
  <c r="F288" i="31"/>
  <c r="E289" i="31"/>
  <c r="G288" i="31"/>
  <c r="Q288" i="31"/>
  <c r="D289" i="31"/>
  <c r="P293" i="31"/>
  <c r="N294" i="31"/>
  <c r="O294" i="31"/>
  <c r="F289" i="31" l="1"/>
  <c r="Q289" i="31"/>
  <c r="E290" i="31"/>
  <c r="D290" i="31"/>
  <c r="G289" i="31"/>
  <c r="F286" i="22"/>
  <c r="D287" i="22"/>
  <c r="E287" i="22"/>
  <c r="G286" i="22"/>
  <c r="P294" i="31"/>
  <c r="N295" i="31"/>
  <c r="O295" i="31"/>
  <c r="F287" i="22" l="1"/>
  <c r="D288" i="22"/>
  <c r="E288" i="22"/>
  <c r="G287" i="22"/>
  <c r="F290" i="31"/>
  <c r="Q290" i="31"/>
  <c r="D291" i="31"/>
  <c r="G290" i="31"/>
  <c r="E291" i="31"/>
  <c r="P295" i="31"/>
  <c r="O296" i="31"/>
  <c r="N296" i="31"/>
  <c r="F291" i="31" l="1"/>
  <c r="E292" i="31"/>
  <c r="Q291" i="31"/>
  <c r="G291" i="31"/>
  <c r="D292" i="31"/>
  <c r="F288" i="22"/>
  <c r="D289" i="22"/>
  <c r="E289" i="22"/>
  <c r="G288" i="22"/>
  <c r="P296" i="31"/>
  <c r="N297" i="31"/>
  <c r="O297" i="31"/>
  <c r="F289" i="22" l="1"/>
  <c r="E290" i="22"/>
  <c r="G289" i="22"/>
  <c r="D290" i="22"/>
  <c r="F292" i="31"/>
  <c r="D293" i="31"/>
  <c r="Q292" i="31"/>
  <c r="E293" i="31"/>
  <c r="G292" i="31"/>
  <c r="P297" i="31"/>
  <c r="N298" i="31"/>
  <c r="O298" i="31"/>
  <c r="F293" i="31" l="1"/>
  <c r="Q293" i="31"/>
  <c r="G293" i="31"/>
  <c r="D294" i="31"/>
  <c r="E294" i="31"/>
  <c r="F290" i="22"/>
  <c r="D291" i="22"/>
  <c r="G290" i="22"/>
  <c r="E291" i="22"/>
  <c r="P298" i="31"/>
  <c r="N299" i="31"/>
  <c r="O299" i="31"/>
  <c r="F291" i="22" l="1"/>
  <c r="G291" i="22"/>
  <c r="D292" i="22"/>
  <c r="E292" i="22"/>
  <c r="F294" i="31"/>
  <c r="G294" i="31"/>
  <c r="Q294" i="31"/>
  <c r="D295" i="31"/>
  <c r="E295" i="31"/>
  <c r="P299" i="31"/>
  <c r="N300" i="31"/>
  <c r="O300" i="31"/>
  <c r="F295" i="31" l="1"/>
  <c r="Q295" i="31"/>
  <c r="D296" i="31"/>
  <c r="E296" i="31"/>
  <c r="G295" i="31"/>
  <c r="F292" i="22"/>
  <c r="E293" i="22"/>
  <c r="D293" i="22"/>
  <c r="G292" i="22"/>
  <c r="P300" i="31"/>
  <c r="N301" i="31"/>
  <c r="O301" i="31"/>
  <c r="F293" i="22" l="1"/>
  <c r="D294" i="22"/>
  <c r="G293" i="22"/>
  <c r="E294" i="22"/>
  <c r="F296" i="31"/>
  <c r="G296" i="31"/>
  <c r="E297" i="31"/>
  <c r="Q296" i="31"/>
  <c r="D297" i="31"/>
  <c r="P301" i="31"/>
  <c r="O302" i="31"/>
  <c r="N302" i="31"/>
  <c r="F297" i="31" l="1"/>
  <c r="D298" i="31"/>
  <c r="G297" i="31"/>
  <c r="E298" i="31"/>
  <c r="Q297" i="31"/>
  <c r="F294" i="22"/>
  <c r="E295" i="22"/>
  <c r="D295" i="22"/>
  <c r="G294" i="22"/>
  <c r="P302" i="31"/>
  <c r="N303" i="31"/>
  <c r="O303" i="31"/>
  <c r="F295" i="22" l="1"/>
  <c r="E296" i="22"/>
  <c r="G295" i="22"/>
  <c r="D296" i="22"/>
  <c r="F298" i="31"/>
  <c r="Q298" i="31"/>
  <c r="G298" i="31"/>
  <c r="E299" i="31"/>
  <c r="D299" i="31"/>
  <c r="P303" i="31"/>
  <c r="N304" i="31"/>
  <c r="O304" i="31"/>
  <c r="F299" i="31" l="1"/>
  <c r="G299" i="31"/>
  <c r="Q299" i="31"/>
  <c r="E300" i="31"/>
  <c r="D300" i="31"/>
  <c r="F296" i="22"/>
  <c r="D297" i="22"/>
  <c r="G296" i="22"/>
  <c r="E297" i="22"/>
  <c r="P304" i="31"/>
  <c r="N305" i="31"/>
  <c r="O305" i="31"/>
  <c r="F300" i="31" l="1"/>
  <c r="E301" i="31"/>
  <c r="D301" i="31"/>
  <c r="Q300" i="31"/>
  <c r="G300" i="31"/>
  <c r="F297" i="22"/>
  <c r="D298" i="22"/>
  <c r="E298" i="22"/>
  <c r="G297" i="22"/>
  <c r="P305" i="31"/>
  <c r="N306" i="31"/>
  <c r="O306" i="31"/>
  <c r="F301" i="31" l="1"/>
  <c r="D302" i="31"/>
  <c r="G301" i="31"/>
  <c r="Q301" i="31"/>
  <c r="E302" i="31"/>
  <c r="F298" i="22"/>
  <c r="G298" i="22"/>
  <c r="E299" i="22"/>
  <c r="D299" i="22"/>
  <c r="P306" i="31"/>
  <c r="N307" i="31"/>
  <c r="O307" i="31"/>
  <c r="F299" i="22" l="1"/>
  <c r="E300" i="22"/>
  <c r="G299" i="22"/>
  <c r="D300" i="22"/>
  <c r="F302" i="31"/>
  <c r="G302" i="31"/>
  <c r="E303" i="31"/>
  <c r="Q302" i="31"/>
  <c r="D303" i="31"/>
  <c r="P307" i="31"/>
  <c r="O308" i="31"/>
  <c r="N308" i="31"/>
  <c r="F303" i="31" l="1"/>
  <c r="Q303" i="31"/>
  <c r="D304" i="31"/>
  <c r="E304" i="31"/>
  <c r="G303" i="31"/>
  <c r="F300" i="22"/>
  <c r="D301" i="22"/>
  <c r="E301" i="22"/>
  <c r="G300" i="22"/>
  <c r="P308" i="31"/>
  <c r="O309" i="31"/>
  <c r="N309" i="31"/>
  <c r="F301" i="22" l="1"/>
  <c r="D302" i="22"/>
  <c r="E302" i="22"/>
  <c r="G301" i="22"/>
  <c r="F304" i="31"/>
  <c r="D305" i="31"/>
  <c r="Q304" i="31"/>
  <c r="E305" i="31"/>
  <c r="G304" i="31"/>
  <c r="P309" i="31"/>
  <c r="N310" i="31"/>
  <c r="O310" i="31"/>
  <c r="F305" i="31" l="1"/>
  <c r="D306" i="31"/>
  <c r="Q305" i="31"/>
  <c r="E306" i="31"/>
  <c r="G305" i="31"/>
  <c r="F302" i="22"/>
  <c r="D303" i="22"/>
  <c r="G302" i="22"/>
  <c r="E303" i="22"/>
  <c r="P310" i="31"/>
  <c r="N311" i="31"/>
  <c r="O311" i="31"/>
  <c r="F303" i="22" l="1"/>
  <c r="E304" i="22"/>
  <c r="G303" i="22"/>
  <c r="D304" i="22"/>
  <c r="F306" i="31"/>
  <c r="G306" i="31"/>
  <c r="D307" i="31"/>
  <c r="E307" i="31"/>
  <c r="Q306" i="31"/>
  <c r="P311" i="31"/>
  <c r="O312" i="31"/>
  <c r="N312" i="31"/>
  <c r="F307" i="31" l="1"/>
  <c r="Q307" i="31"/>
  <c r="E308" i="31"/>
  <c r="G307" i="31"/>
  <c r="D308" i="31"/>
  <c r="F304" i="22"/>
  <c r="D305" i="22"/>
  <c r="E305" i="22"/>
  <c r="G304" i="22"/>
  <c r="P312" i="31"/>
  <c r="O313" i="31"/>
  <c r="N313" i="31"/>
  <c r="F305" i="22" l="1"/>
  <c r="D306" i="22"/>
  <c r="G305" i="22"/>
  <c r="E306" i="22"/>
  <c r="F308" i="31"/>
  <c r="Q308" i="31"/>
  <c r="G308" i="31"/>
  <c r="E309" i="31"/>
  <c r="D309" i="31"/>
  <c r="P313" i="31"/>
  <c r="N314" i="31"/>
  <c r="O314" i="31"/>
  <c r="F309" i="31" l="1"/>
  <c r="Q309" i="31"/>
  <c r="D310" i="31"/>
  <c r="E310" i="31"/>
  <c r="G309" i="31"/>
  <c r="F306" i="22"/>
  <c r="E307" i="22"/>
  <c r="G306" i="22"/>
  <c r="D307" i="22"/>
  <c r="P314" i="31"/>
  <c r="O315" i="31"/>
  <c r="N315" i="31"/>
  <c r="F307" i="22" l="1"/>
  <c r="D308" i="22"/>
  <c r="E308" i="22"/>
  <c r="G307" i="22"/>
  <c r="F310" i="31"/>
  <c r="Q310" i="31"/>
  <c r="D311" i="31"/>
  <c r="E311" i="31"/>
  <c r="G310" i="31"/>
  <c r="P315" i="31"/>
  <c r="N316" i="31"/>
  <c r="O316" i="31"/>
  <c r="F311" i="31" l="1"/>
  <c r="G311" i="31"/>
  <c r="Q311" i="31"/>
  <c r="E312" i="31"/>
  <c r="D312" i="31"/>
  <c r="F308" i="22"/>
  <c r="G308" i="22"/>
  <c r="E309" i="22"/>
  <c r="D309" i="22"/>
  <c r="P316" i="31"/>
  <c r="O317" i="31"/>
  <c r="N317" i="31"/>
  <c r="F309" i="22" l="1"/>
  <c r="G309" i="22"/>
  <c r="E310" i="22"/>
  <c r="D310" i="22"/>
  <c r="F312" i="31"/>
  <c r="Q312" i="31"/>
  <c r="G312" i="31"/>
  <c r="E313" i="31"/>
  <c r="D313" i="31"/>
  <c r="P317" i="31"/>
  <c r="O318" i="31"/>
  <c r="N318" i="31"/>
  <c r="F310" i="22" l="1"/>
  <c r="G310" i="22"/>
  <c r="D311" i="22"/>
  <c r="E311" i="22"/>
  <c r="F313" i="31"/>
  <c r="D314" i="31"/>
  <c r="E314" i="31"/>
  <c r="Q313" i="31"/>
  <c r="G313" i="31"/>
  <c r="P318" i="31"/>
  <c r="N319" i="31"/>
  <c r="O319" i="31"/>
  <c r="F314" i="31" l="1"/>
  <c r="D315" i="31"/>
  <c r="G314" i="31"/>
  <c r="Q314" i="31"/>
  <c r="E315" i="31"/>
  <c r="F311" i="22"/>
  <c r="D312" i="22"/>
  <c r="E312" i="22"/>
  <c r="G311" i="22"/>
  <c r="P319" i="31"/>
  <c r="N320" i="31"/>
  <c r="O320" i="31"/>
  <c r="F312" i="22" l="1"/>
  <c r="G312" i="22"/>
  <c r="D313" i="22"/>
  <c r="E313" i="22"/>
  <c r="F315" i="31"/>
  <c r="D316" i="31"/>
  <c r="Q315" i="31"/>
  <c r="G315" i="31"/>
  <c r="E316" i="31"/>
  <c r="P320" i="31"/>
  <c r="N321" i="31"/>
  <c r="O321" i="31"/>
  <c r="F316" i="31" l="1"/>
  <c r="D317" i="31"/>
  <c r="G316" i="31"/>
  <c r="Q316" i="31"/>
  <c r="E317" i="31"/>
  <c r="F313" i="22"/>
  <c r="E314" i="22"/>
  <c r="G313" i="22"/>
  <c r="D314" i="22"/>
  <c r="P321" i="31"/>
  <c r="N322" i="31"/>
  <c r="O322" i="31"/>
  <c r="F314" i="22" l="1"/>
  <c r="D315" i="22"/>
  <c r="G314" i="22"/>
  <c r="E315" i="22"/>
  <c r="F317" i="31"/>
  <c r="D318" i="31"/>
  <c r="G317" i="31"/>
  <c r="Q317" i="31"/>
  <c r="E318" i="31"/>
  <c r="P322" i="31"/>
  <c r="N323" i="31"/>
  <c r="O323" i="31"/>
  <c r="F318" i="31" l="1"/>
  <c r="D319" i="31"/>
  <c r="E319" i="31"/>
  <c r="Q318" i="31"/>
  <c r="G318" i="31"/>
  <c r="F315" i="22"/>
  <c r="D316" i="22"/>
  <c r="E316" i="22"/>
  <c r="G315" i="22"/>
  <c r="P323" i="31"/>
  <c r="N324" i="31"/>
  <c r="O324" i="31"/>
  <c r="F316" i="22" l="1"/>
  <c r="D317" i="22"/>
  <c r="G316" i="22"/>
  <c r="E317" i="22"/>
  <c r="F319" i="31"/>
  <c r="G319" i="31"/>
  <c r="D320" i="31"/>
  <c r="Q319" i="31"/>
  <c r="E320" i="31"/>
  <c r="P324" i="31"/>
  <c r="O325" i="31"/>
  <c r="N325" i="31"/>
  <c r="F317" i="22" l="1"/>
  <c r="D318" i="22"/>
  <c r="E318" i="22"/>
  <c r="G317" i="22"/>
  <c r="F320" i="31"/>
  <c r="Q320" i="31"/>
  <c r="E321" i="31"/>
  <c r="D321" i="31"/>
  <c r="G320" i="31"/>
  <c r="P325" i="31"/>
  <c r="O326" i="31"/>
  <c r="N326" i="31"/>
  <c r="F318" i="22" l="1"/>
  <c r="G318" i="22"/>
  <c r="D319" i="22"/>
  <c r="E319" i="22"/>
  <c r="F321" i="31"/>
  <c r="E322" i="31"/>
  <c r="Q321" i="31"/>
  <c r="G321" i="31"/>
  <c r="D322" i="31"/>
  <c r="P326" i="31"/>
  <c r="N327" i="31"/>
  <c r="O327" i="31"/>
  <c r="F322" i="31" l="1"/>
  <c r="D323" i="31"/>
  <c r="E323" i="31"/>
  <c r="G322" i="31"/>
  <c r="Q322" i="31"/>
  <c r="F319" i="22"/>
  <c r="G319" i="22"/>
  <c r="D320" i="22"/>
  <c r="E320" i="22"/>
  <c r="P327" i="31"/>
  <c r="O328" i="31"/>
  <c r="N328" i="31"/>
  <c r="F320" i="22" l="1"/>
  <c r="E321" i="22"/>
  <c r="G320" i="22"/>
  <c r="D321" i="22"/>
  <c r="F323" i="31"/>
  <c r="Q323" i="31"/>
  <c r="G323" i="31"/>
  <c r="D324" i="31"/>
  <c r="E324" i="31"/>
  <c r="P328" i="31"/>
  <c r="O329" i="31"/>
  <c r="N329" i="31"/>
  <c r="F324" i="31" l="1"/>
  <c r="Q324" i="31"/>
  <c r="D325" i="31"/>
  <c r="G324" i="31"/>
  <c r="E325" i="31"/>
  <c r="F321" i="22"/>
  <c r="D322" i="22"/>
  <c r="E322" i="22"/>
  <c r="G321" i="22"/>
  <c r="P329" i="31"/>
  <c r="O330" i="31"/>
  <c r="N330" i="31"/>
  <c r="F322" i="22" l="1"/>
  <c r="E323" i="22"/>
  <c r="D323" i="22"/>
  <c r="G322" i="22"/>
  <c r="F325" i="31"/>
  <c r="Q325" i="31"/>
  <c r="D326" i="31"/>
  <c r="G325" i="31"/>
  <c r="E326" i="31"/>
  <c r="P330" i="31"/>
  <c r="N331" i="31"/>
  <c r="O331" i="31"/>
  <c r="F326" i="31" l="1"/>
  <c r="E327" i="31"/>
  <c r="D327" i="31"/>
  <c r="Q326" i="31"/>
  <c r="G326" i="31"/>
  <c r="F323" i="22"/>
  <c r="D324" i="22"/>
  <c r="G323" i="22"/>
  <c r="E324" i="22"/>
  <c r="P331" i="31"/>
  <c r="O332" i="31"/>
  <c r="N332" i="31"/>
  <c r="F324" i="22" l="1"/>
  <c r="D325" i="22"/>
  <c r="E325" i="22"/>
  <c r="G324" i="22"/>
  <c r="F327" i="31"/>
  <c r="E328" i="31"/>
  <c r="G327" i="31"/>
  <c r="Q327" i="31"/>
  <c r="D328" i="31"/>
  <c r="P332" i="31"/>
  <c r="O333" i="31"/>
  <c r="N333" i="31"/>
  <c r="F328" i="31" l="1"/>
  <c r="E329" i="31"/>
  <c r="G328" i="31"/>
  <c r="D329" i="31"/>
  <c r="Q328" i="31"/>
  <c r="F325" i="22"/>
  <c r="E326" i="22"/>
  <c r="D326" i="22"/>
  <c r="G325" i="22"/>
  <c r="P333" i="31"/>
  <c r="N334" i="31"/>
  <c r="O334" i="31"/>
  <c r="F329" i="31" l="1"/>
  <c r="E330" i="31"/>
  <c r="G329" i="31"/>
  <c r="D330" i="31"/>
  <c r="Q329" i="31"/>
  <c r="F326" i="22"/>
  <c r="D327" i="22"/>
  <c r="E327" i="22"/>
  <c r="G326" i="22"/>
  <c r="P334" i="31"/>
  <c r="O335" i="31"/>
  <c r="N335" i="31"/>
  <c r="F330" i="31" l="1"/>
  <c r="G330" i="31"/>
  <c r="Q330" i="31"/>
  <c r="E331" i="31"/>
  <c r="D331" i="31"/>
  <c r="F327" i="22"/>
  <c r="E328" i="22"/>
  <c r="G327" i="22"/>
  <c r="D328" i="22"/>
  <c r="P335" i="31"/>
  <c r="N336" i="31"/>
  <c r="O336" i="31"/>
  <c r="F331" i="31" l="1"/>
  <c r="G331" i="31"/>
  <c r="Q331" i="31"/>
  <c r="E332" i="31"/>
  <c r="D332" i="31"/>
  <c r="F328" i="22"/>
  <c r="D329" i="22"/>
  <c r="E329" i="22"/>
  <c r="G328" i="22"/>
  <c r="P336" i="31"/>
  <c r="N337" i="31"/>
  <c r="O337" i="31"/>
  <c r="F329" i="22" l="1"/>
  <c r="D330" i="22"/>
  <c r="G329" i="22"/>
  <c r="E330" i="22"/>
  <c r="F332" i="31"/>
  <c r="G332" i="31"/>
  <c r="Q332" i="31"/>
  <c r="E333" i="31"/>
  <c r="D333" i="31"/>
  <c r="P337" i="31"/>
  <c r="N338" i="31"/>
  <c r="O338" i="31"/>
  <c r="F333" i="31" l="1"/>
  <c r="G333" i="31"/>
  <c r="Q333" i="31"/>
  <c r="D334" i="31"/>
  <c r="E334" i="31"/>
  <c r="F330" i="22"/>
  <c r="D331" i="22"/>
  <c r="G330" i="22"/>
  <c r="E331" i="22"/>
  <c r="P338" i="31"/>
  <c r="N339" i="31"/>
  <c r="O339" i="31"/>
  <c r="F334" i="31" l="1"/>
  <c r="Q334" i="31"/>
  <c r="G334" i="31"/>
  <c r="D335" i="31"/>
  <c r="E335" i="31"/>
  <c r="F331" i="22"/>
  <c r="D332" i="22"/>
  <c r="E332" i="22"/>
  <c r="G331" i="22"/>
  <c r="P339" i="31"/>
  <c r="O340" i="31"/>
  <c r="N340" i="31"/>
  <c r="F335" i="31" l="1"/>
  <c r="G335" i="31"/>
  <c r="D336" i="31"/>
  <c r="E336" i="31"/>
  <c r="Q335" i="31"/>
  <c r="F332" i="22"/>
  <c r="E333" i="22"/>
  <c r="D333" i="22"/>
  <c r="G332" i="22"/>
  <c r="P340" i="31"/>
  <c r="N341" i="31"/>
  <c r="O341" i="31"/>
  <c r="F333" i="22" l="1"/>
  <c r="E334" i="22"/>
  <c r="D334" i="22"/>
  <c r="G333" i="22"/>
  <c r="F336" i="31"/>
  <c r="Q336" i="31"/>
  <c r="D337" i="31"/>
  <c r="G336" i="31"/>
  <c r="E337" i="31"/>
  <c r="P341" i="31"/>
  <c r="N342" i="31"/>
  <c r="O342" i="31"/>
  <c r="F334" i="22" l="1"/>
  <c r="G334" i="22"/>
  <c r="D335" i="22"/>
  <c r="E335" i="22"/>
  <c r="F337" i="31"/>
  <c r="E338" i="31"/>
  <c r="D338" i="31"/>
  <c r="Q337" i="31"/>
  <c r="G337" i="31"/>
  <c r="P342" i="31"/>
  <c r="O343" i="31"/>
  <c r="N343" i="31"/>
  <c r="F338" i="31" l="1"/>
  <c r="E339" i="31"/>
  <c r="Q338" i="31"/>
  <c r="G338" i="31"/>
  <c r="D339" i="31"/>
  <c r="F335" i="22"/>
  <c r="G335" i="22"/>
  <c r="E336" i="22"/>
  <c r="D336" i="22"/>
  <c r="P343" i="31"/>
  <c r="O344" i="31"/>
  <c r="N344" i="31"/>
  <c r="F336" i="22" l="1"/>
  <c r="E337" i="22"/>
  <c r="D337" i="22"/>
  <c r="G336" i="22"/>
  <c r="F339" i="31"/>
  <c r="Q339" i="31"/>
  <c r="G339" i="31"/>
  <c r="E340" i="31"/>
  <c r="D340" i="31"/>
  <c r="P344" i="31"/>
  <c r="N345" i="31"/>
  <c r="O345" i="31"/>
  <c r="F340" i="31" l="1"/>
  <c r="D341" i="31"/>
  <c r="G340" i="31"/>
  <c r="Q340" i="31"/>
  <c r="E341" i="31"/>
  <c r="F337" i="22"/>
  <c r="D338" i="22"/>
  <c r="G337" i="22"/>
  <c r="E338" i="22"/>
  <c r="P345" i="31"/>
  <c r="O346" i="31"/>
  <c r="N346" i="31"/>
  <c r="F338" i="22" l="1"/>
  <c r="E339" i="22"/>
  <c r="D339" i="22"/>
  <c r="G338" i="22"/>
  <c r="F341" i="31"/>
  <c r="Q341" i="31"/>
  <c r="E342" i="31"/>
  <c r="G341" i="31"/>
  <c r="D342" i="31"/>
  <c r="P346" i="31"/>
  <c r="N347" i="31"/>
  <c r="O347" i="31"/>
  <c r="F342" i="31" l="1"/>
  <c r="D343" i="31"/>
  <c r="G342" i="31"/>
  <c r="E343" i="31"/>
  <c r="Q342" i="31"/>
  <c r="F339" i="22"/>
  <c r="G339" i="22"/>
  <c r="E340" i="22"/>
  <c r="D340" i="22"/>
  <c r="P347" i="31"/>
  <c r="O348" i="31"/>
  <c r="N348" i="31"/>
  <c r="F340" i="22" l="1"/>
  <c r="D341" i="22"/>
  <c r="E341" i="22"/>
  <c r="G340" i="22"/>
  <c r="F343" i="31"/>
  <c r="D344" i="31"/>
  <c r="E344" i="31"/>
  <c r="G343" i="31"/>
  <c r="Q343" i="31"/>
  <c r="P348" i="31"/>
  <c r="O349" i="31"/>
  <c r="N349" i="31"/>
  <c r="F344" i="31" l="1"/>
  <c r="E345" i="31"/>
  <c r="G344" i="31"/>
  <c r="Q344" i="31"/>
  <c r="D345" i="31"/>
  <c r="F341" i="22"/>
  <c r="E342" i="22"/>
  <c r="G341" i="22"/>
  <c r="D342" i="22"/>
  <c r="P349" i="31"/>
  <c r="O350" i="31"/>
  <c r="N350" i="31"/>
  <c r="F345" i="31" l="1"/>
  <c r="G345" i="31"/>
  <c r="D346" i="31"/>
  <c r="Q345" i="31"/>
  <c r="E346" i="31"/>
  <c r="F342" i="22"/>
  <c r="G342" i="22"/>
  <c r="E343" i="22"/>
  <c r="D343" i="22"/>
  <c r="P350" i="31"/>
  <c r="N351" i="31"/>
  <c r="O351" i="31"/>
  <c r="F343" i="22" l="1"/>
  <c r="G343" i="22"/>
  <c r="E344" i="22"/>
  <c r="D344" i="22"/>
  <c r="F346" i="31"/>
  <c r="Q346" i="31"/>
  <c r="G346" i="31"/>
  <c r="D347" i="31"/>
  <c r="E347" i="31"/>
  <c r="P351" i="31"/>
  <c r="O352" i="31"/>
  <c r="N352" i="31"/>
  <c r="F347" i="31" l="1"/>
  <c r="Q347" i="31"/>
  <c r="G347" i="31"/>
  <c r="D348" i="31"/>
  <c r="E348" i="31"/>
  <c r="F344" i="22"/>
  <c r="E345" i="22"/>
  <c r="D345" i="22"/>
  <c r="G344" i="22"/>
  <c r="P352" i="31"/>
  <c r="O353" i="31"/>
  <c r="N353" i="31"/>
  <c r="F345" i="22" l="1"/>
  <c r="D346" i="22"/>
  <c r="E346" i="22"/>
  <c r="G345" i="22"/>
  <c r="F348" i="31"/>
  <c r="Q348" i="31"/>
  <c r="E349" i="31"/>
  <c r="D349" i="31"/>
  <c r="G348" i="31"/>
  <c r="P353" i="31"/>
  <c r="N354" i="31"/>
  <c r="O354" i="31"/>
  <c r="F349" i="31" l="1"/>
  <c r="G349" i="31"/>
  <c r="Q349" i="31"/>
  <c r="E350" i="31"/>
  <c r="D350" i="31"/>
  <c r="F346" i="22"/>
  <c r="D347" i="22"/>
  <c r="E347" i="22"/>
  <c r="G346" i="22"/>
  <c r="P354" i="31"/>
  <c r="N355" i="31"/>
  <c r="O355" i="31"/>
  <c r="F347" i="22" l="1"/>
  <c r="D348" i="22"/>
  <c r="E348" i="22"/>
  <c r="G347" i="22"/>
  <c r="F350" i="31"/>
  <c r="D351" i="31"/>
  <c r="G350" i="31"/>
  <c r="E351" i="31"/>
  <c r="Q350" i="31"/>
  <c r="P355" i="31"/>
  <c r="O356" i="31"/>
  <c r="N356" i="31"/>
  <c r="F351" i="31" l="1"/>
  <c r="E352" i="31"/>
  <c r="D352" i="31"/>
  <c r="Q351" i="31"/>
  <c r="G351" i="31"/>
  <c r="F348" i="22"/>
  <c r="D349" i="22"/>
  <c r="G348" i="22"/>
  <c r="E349" i="22"/>
  <c r="P356" i="31"/>
  <c r="N357" i="31"/>
  <c r="O357" i="31"/>
  <c r="F349" i="22" l="1"/>
  <c r="E350" i="22"/>
  <c r="G349" i="22"/>
  <c r="D350" i="22"/>
  <c r="F352" i="31"/>
  <c r="G352" i="31"/>
  <c r="E353" i="31"/>
  <c r="D353" i="31"/>
  <c r="Q352" i="31"/>
  <c r="P357" i="31"/>
  <c r="N358" i="31"/>
  <c r="O358" i="31"/>
  <c r="F353" i="31" l="1"/>
  <c r="G353" i="31"/>
  <c r="E354" i="31"/>
  <c r="D354" i="31"/>
  <c r="Q353" i="31"/>
  <c r="F350" i="22"/>
  <c r="D351" i="22"/>
  <c r="E351" i="22"/>
  <c r="G350" i="22"/>
  <c r="P358" i="31"/>
  <c r="N359" i="31"/>
  <c r="O359" i="31"/>
  <c r="F351" i="22" l="1"/>
  <c r="E352" i="22"/>
  <c r="D352" i="22"/>
  <c r="G351" i="22"/>
  <c r="F354" i="31"/>
  <c r="E355" i="31"/>
  <c r="D355" i="31"/>
  <c r="Q354" i="31"/>
  <c r="G354" i="31"/>
  <c r="P359" i="31"/>
  <c r="N360" i="31"/>
  <c r="O360" i="31"/>
  <c r="F355" i="31" l="1"/>
  <c r="G355" i="31"/>
  <c r="Q355" i="31"/>
  <c r="E356" i="31"/>
  <c r="D356" i="31"/>
  <c r="F352" i="22"/>
  <c r="G352" i="22"/>
  <c r="D353" i="22"/>
  <c r="E353" i="22"/>
  <c r="P360" i="31"/>
  <c r="N361" i="31"/>
  <c r="O361" i="31"/>
  <c r="F353" i="22" l="1"/>
  <c r="D354" i="22"/>
  <c r="E354" i="22"/>
  <c r="G353" i="22"/>
  <c r="F356" i="31"/>
  <c r="D357" i="31"/>
  <c r="Q356" i="31"/>
  <c r="E357" i="31"/>
  <c r="G356" i="31"/>
  <c r="P361" i="31"/>
  <c r="N362" i="31"/>
  <c r="O362" i="31"/>
  <c r="F357" i="31" l="1"/>
  <c r="G357" i="31"/>
  <c r="D358" i="31"/>
  <c r="E358" i="31"/>
  <c r="Q357" i="31"/>
  <c r="F354" i="22"/>
  <c r="E355" i="22"/>
  <c r="G354" i="22"/>
  <c r="D355" i="22"/>
  <c r="P362" i="31"/>
  <c r="O363" i="31"/>
  <c r="N363" i="31"/>
  <c r="F355" i="22" l="1"/>
  <c r="G355" i="22"/>
  <c r="D356" i="22"/>
  <c r="E356" i="22"/>
  <c r="F358" i="31"/>
  <c r="Q358" i="31"/>
  <c r="G358" i="31"/>
  <c r="E359" i="31"/>
  <c r="D359" i="31"/>
  <c r="P363" i="31"/>
  <c r="O364" i="31"/>
  <c r="N364" i="31"/>
  <c r="F359" i="31" l="1"/>
  <c r="G359" i="31"/>
  <c r="E360" i="31"/>
  <c r="D360" i="31"/>
  <c r="Q359" i="31"/>
  <c r="F356" i="22"/>
  <c r="E357" i="22"/>
  <c r="D357" i="22"/>
  <c r="G356" i="22"/>
  <c r="P364" i="31"/>
  <c r="O365" i="31"/>
  <c r="N365" i="31"/>
  <c r="F357" i="22" l="1"/>
  <c r="D358" i="22"/>
  <c r="E358" i="22"/>
  <c r="G357" i="22"/>
  <c r="F360" i="31"/>
  <c r="Q360" i="31"/>
  <c r="G360" i="31"/>
  <c r="D361" i="31"/>
  <c r="E361" i="31"/>
  <c r="P365" i="31"/>
  <c r="O366" i="31"/>
  <c r="N366" i="31"/>
  <c r="F361" i="31" l="1"/>
  <c r="Q361" i="31"/>
  <c r="G361" i="31"/>
  <c r="D362" i="31"/>
  <c r="E362" i="31"/>
  <c r="F358" i="22"/>
  <c r="G358" i="22"/>
  <c r="E359" i="22"/>
  <c r="D359" i="22"/>
  <c r="P366" i="31"/>
  <c r="N367" i="31"/>
  <c r="O367" i="31"/>
  <c r="F362" i="31" l="1"/>
  <c r="Q362" i="31"/>
  <c r="G362" i="31"/>
  <c r="E363" i="31"/>
  <c r="D363" i="31"/>
  <c r="F359" i="22"/>
  <c r="D360" i="22"/>
  <c r="E360" i="22"/>
  <c r="G359" i="22"/>
  <c r="P367" i="31"/>
  <c r="N368" i="31"/>
  <c r="O368" i="31"/>
  <c r="F360" i="22" l="1"/>
  <c r="G360" i="22"/>
  <c r="E361" i="22"/>
  <c r="D361" i="22"/>
  <c r="F363" i="31"/>
  <c r="G363" i="31"/>
  <c r="D364" i="31"/>
  <c r="E364" i="31"/>
  <c r="Q363" i="31"/>
  <c r="P368" i="31"/>
  <c r="N369" i="31"/>
  <c r="O369" i="31"/>
  <c r="F364" i="31" l="1"/>
  <c r="E365" i="31"/>
  <c r="D365" i="31"/>
  <c r="Q364" i="31"/>
  <c r="G364" i="31"/>
  <c r="F361" i="22"/>
  <c r="G361" i="22"/>
  <c r="D362" i="22"/>
  <c r="E362" i="22"/>
  <c r="P369" i="31"/>
  <c r="O370" i="31"/>
  <c r="N370" i="31"/>
  <c r="F365" i="31" l="1"/>
  <c r="D366" i="31"/>
  <c r="E366" i="31"/>
  <c r="Q365" i="31"/>
  <c r="G365" i="31"/>
  <c r="F362" i="22"/>
  <c r="G362" i="22"/>
  <c r="D363" i="22"/>
  <c r="E363" i="22"/>
  <c r="P370" i="31"/>
  <c r="N371" i="31"/>
  <c r="O371" i="31"/>
  <c r="F363" i="22" l="1"/>
  <c r="E364" i="22"/>
  <c r="G363" i="22"/>
  <c r="D364" i="22"/>
  <c r="F366" i="31"/>
  <c r="D367" i="31"/>
  <c r="Q366" i="31"/>
  <c r="G366" i="31"/>
  <c r="E367" i="31"/>
  <c r="P371" i="31"/>
  <c r="N372" i="31"/>
  <c r="O372" i="31"/>
  <c r="F364" i="22" l="1"/>
  <c r="E365" i="22"/>
  <c r="D365" i="22"/>
  <c r="G364" i="22"/>
  <c r="F367" i="31"/>
  <c r="D368" i="31"/>
  <c r="E368" i="31"/>
  <c r="G367" i="31"/>
  <c r="Q367" i="31"/>
  <c r="P372" i="31"/>
  <c r="O373" i="31"/>
  <c r="N373" i="31"/>
  <c r="F368" i="31" l="1"/>
  <c r="D369" i="31"/>
  <c r="E369" i="31"/>
  <c r="Q368" i="31"/>
  <c r="G368" i="31"/>
  <c r="F365" i="22"/>
  <c r="D366" i="22"/>
  <c r="E366" i="22"/>
  <c r="G365" i="22"/>
  <c r="P373" i="31"/>
  <c r="N374" i="31"/>
  <c r="P374" i="31" s="1"/>
  <c r="O374" i="31"/>
  <c r="F369" i="31" l="1"/>
  <c r="G369" i="31"/>
  <c r="Q369" i="31"/>
  <c r="E370" i="31"/>
  <c r="D370" i="31"/>
  <c r="F366" i="22"/>
  <c r="D367" i="22"/>
  <c r="G366" i="22"/>
  <c r="E367" i="22"/>
  <c r="F367" i="22" l="1"/>
  <c r="E368" i="22"/>
  <c r="D368" i="22"/>
  <c r="G367" i="22"/>
  <c r="F370" i="31"/>
  <c r="Q370" i="31"/>
  <c r="G370" i="31"/>
  <c r="D371" i="31"/>
  <c r="E371" i="31"/>
  <c r="F371" i="31" l="1"/>
  <c r="Q371" i="31"/>
  <c r="D372" i="31"/>
  <c r="G371" i="31"/>
  <c r="E372" i="31"/>
  <c r="F368" i="22"/>
  <c r="E369" i="22"/>
  <c r="D369" i="22"/>
  <c r="G368" i="22"/>
  <c r="F369" i="22" l="1"/>
  <c r="G369" i="22"/>
  <c r="F372" i="31"/>
  <c r="Q372" i="31"/>
  <c r="D373" i="31"/>
  <c r="E373" i="31"/>
  <c r="G372" i="31"/>
  <c r="F373" i="31" l="1"/>
  <c r="Q373" i="31"/>
  <c r="D374" i="31"/>
  <c r="G373" i="31"/>
  <c r="E374" i="31"/>
  <c r="G5" i="31" s="1"/>
  <c r="F374" i="31" l="1"/>
  <c r="Q374" i="31"/>
  <c r="G374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Нечаев Тихон Романович</author>
  </authors>
  <commentList>
    <comment ref="C11" authorId="0" shapeId="0" xr:uid="{6DAB6A1C-0F28-4B1C-8AD3-2CDF3D2DD654}">
      <text>
        <r>
          <rPr>
            <b/>
            <sz val="9"/>
            <color indexed="81"/>
            <rFont val="Tahoma"/>
            <family val="2"/>
            <charset val="204"/>
          </rPr>
          <t>Нечаев Тихон Романович:</t>
        </r>
        <r>
          <rPr>
            <sz val="9"/>
            <color indexed="81"/>
            <rFont val="Tahoma"/>
            <family val="2"/>
            <charset val="204"/>
          </rPr>
          <t xml:space="preserve">
Сумма кредита * (Годовая ставка / 12 * (1 + Годовая ставка / 12)^(Срок в месяцах)) / ((1 + Годовая ставка / 12)^(Срок в месяцах)-1)</t>
        </r>
      </text>
    </comment>
  </commentList>
</comments>
</file>

<file path=xl/sharedStrings.xml><?xml version="1.0" encoding="utf-8"?>
<sst xmlns="http://schemas.openxmlformats.org/spreadsheetml/2006/main" count="1093" uniqueCount="618">
  <si>
    <t>У нас</t>
  </si>
  <si>
    <t>Без страховки</t>
  </si>
  <si>
    <t>Другой банк</t>
  </si>
  <si>
    <t>Сумма кредита</t>
  </si>
  <si>
    <t>Ставка (Годовая)</t>
  </si>
  <si>
    <t>Срок (В Месяцах)</t>
  </si>
  <si>
    <t>Надбавка к ставке без СТРАХОВКИ</t>
  </si>
  <si>
    <t>Платеж (встроенная формула)</t>
  </si>
  <si>
    <t>Платеж (математическая формула)</t>
  </si>
  <si>
    <t>Переплата</t>
  </si>
  <si>
    <t>Выгода/Переплата от Без страховки</t>
  </si>
  <si>
    <t>Выгода/Переплата от Другого банка</t>
  </si>
  <si>
    <t>Сумма</t>
  </si>
  <si>
    <t>Срок, мес</t>
  </si>
  <si>
    <t>Ставка по кредиту</t>
  </si>
  <si>
    <t>№ платежа</t>
  </si>
  <si>
    <t>Основной долг</t>
  </si>
  <si>
    <t>Проценты</t>
  </si>
  <si>
    <t>Ежемесячный платеж</t>
  </si>
  <si>
    <t>Остаток суммы задолженности</t>
  </si>
  <si>
    <t>Условия для сотрудников АФК</t>
  </si>
  <si>
    <t>Для работодателя</t>
  </si>
  <si>
    <t>Льготная ставка для рассчета возмещения</t>
  </si>
  <si>
    <t>Срок возмещения, мес</t>
  </si>
  <si>
    <t>Технический расчет графика по Льготной ставке</t>
  </si>
  <si>
    <t>Размер возмещения в месяц</t>
  </si>
  <si>
    <t>Размер возмещения ИТОГО</t>
  </si>
  <si>
    <t>График в рамках Кредитного договора для сотрудников АФК</t>
  </si>
  <si>
    <t>График в возмещения Работодателем</t>
  </si>
  <si>
    <t>Льготная ставка</t>
  </si>
  <si>
    <t>Возмещение</t>
  </si>
  <si>
    <t>Да</t>
  </si>
  <si>
    <t>Нет</t>
  </si>
  <si>
    <t>Продукт</t>
  </si>
  <si>
    <t>дом</t>
  </si>
  <si>
    <t>Квартира</t>
  </si>
  <si>
    <t>Преференция - быстрый выход на сделку</t>
  </si>
  <si>
    <t>да</t>
  </si>
  <si>
    <t>Доступна только для "Вторички" (ДЕАКТИВИРОВАНА)</t>
  </si>
  <si>
    <t>Стоимость недвижимости</t>
  </si>
  <si>
    <t>Срок, мес.</t>
  </si>
  <si>
    <t>Первоначальный взнос</t>
  </si>
  <si>
    <t>Первоначальный взнос в %%</t>
  </si>
  <si>
    <t>Отношение Кредита к Залогу (КЗ) в %%</t>
  </si>
  <si>
    <t>Льготный период/период субсидирования</t>
  </si>
  <si>
    <t>Субсидия Эталон</t>
  </si>
  <si>
    <t xml:space="preserve">Субсидия Ant Development </t>
  </si>
  <si>
    <t>Ставка льготного периода/периода субсидирования</t>
  </si>
  <si>
    <t>Ставка</t>
  </si>
  <si>
    <t>Личное страхование заёмщика</t>
  </si>
  <si>
    <t>Страхование имущества</t>
  </si>
  <si>
    <t>Платёж в льготный период/период субсидирования</t>
  </si>
  <si>
    <t>Платёж</t>
  </si>
  <si>
    <t>Переплата за весь срок, руб.</t>
  </si>
  <si>
    <t>Рассчет платежеспособности</t>
  </si>
  <si>
    <t>Ссылка на ОФИСЫ</t>
  </si>
  <si>
    <t>https://www.mtsbank.ru/ofisi-i-bankomati/</t>
  </si>
  <si>
    <t>Необходимый доход</t>
  </si>
  <si>
    <t>Минимальная сумма дохода после вычета налогов</t>
  </si>
  <si>
    <t>Платеж по ипотеке</t>
  </si>
  <si>
    <t>Платеж по карте, в мес</t>
  </si>
  <si>
    <t>Доступный лимит (без учета Текущих задолженностей по картам, неиспользованный лимит)</t>
  </si>
  <si>
    <t>Вносим доступный лимит по кредитным картам (лимиты карт - текущая задолженность по ним)</t>
  </si>
  <si>
    <t>Текущая задолженность</t>
  </si>
  <si>
    <t>Вносим текущую задолженность по кредитным картам</t>
  </si>
  <si>
    <t>Платежи по другим кредитам, в мес</t>
  </si>
  <si>
    <t>Вносим сумму платежей по действующим кредитам</t>
  </si>
  <si>
    <t>Поле заполняется для программы Ипотека. Госпрограмма</t>
  </si>
  <si>
    <t>Платеж без комиссии</t>
  </si>
  <si>
    <t>Разница в месяц</t>
  </si>
  <si>
    <t>Разница между платежами</t>
  </si>
  <si>
    <t>Выгода на весь срок</t>
  </si>
  <si>
    <t>Окупаемость, мес</t>
  </si>
  <si>
    <t>Окупаемость, лет</t>
  </si>
  <si>
    <t>Срок окупаемости</t>
  </si>
  <si>
    <t>Рабочие поля для отработки Лидов с Сайта</t>
  </si>
  <si>
    <t>Согласованный продукт (из калькулятора)</t>
  </si>
  <si>
    <t>Город/наесленный пункт недвижимости (реализован поиск; если нет в справочнике, автоматически заполнится)</t>
  </si>
  <si>
    <t>Трудовая деятельность</t>
  </si>
  <si>
    <t>Работа/служба по найму</t>
  </si>
  <si>
    <t>-</t>
  </si>
  <si>
    <t>Комментарий (Вписать в соседнее поле)</t>
  </si>
  <si>
    <t>Здесь указывается комментарий</t>
  </si>
  <si>
    <t xml:space="preserve"> </t>
  </si>
  <si>
    <r>
      <t xml:space="preserve">СКОПИРОВАТЬ В CRM </t>
    </r>
    <r>
      <rPr>
        <b/>
        <u/>
        <sz val="18"/>
        <color theme="1"/>
        <rFont val="Calibri"/>
        <family val="2"/>
        <charset val="204"/>
        <scheme val="minor"/>
      </rPr>
      <t>ЗЕЛЕНУЮ</t>
    </r>
    <r>
      <rPr>
        <b/>
        <sz val="12"/>
        <color theme="1"/>
        <rFont val="Calibri"/>
        <family val="2"/>
        <charset val="204"/>
        <scheme val="minor"/>
      </rPr>
      <t xml:space="preserve"> ЯЧЕЙКУ</t>
    </r>
  </si>
  <si>
    <t xml:space="preserve">Сумма </t>
  </si>
  <si>
    <t>Срок</t>
  </si>
  <si>
    <t>ЗП/АФК/Абонент</t>
  </si>
  <si>
    <t>Платёж после льготного периода/периода субсидирования</t>
  </si>
  <si>
    <t>Минимальный ПВ ЗП</t>
  </si>
  <si>
    <t>Минимальный ПВ Улица</t>
  </si>
  <si>
    <t>НетНет</t>
  </si>
  <si>
    <t>НетДа</t>
  </si>
  <si>
    <t>ДаНет</t>
  </si>
  <si>
    <t>ДаДа</t>
  </si>
  <si>
    <t>Программа</t>
  </si>
  <si>
    <t>Кредит под залог недвижимости</t>
  </si>
  <si>
    <t>квартира</t>
  </si>
  <si>
    <t>нет</t>
  </si>
  <si>
    <t>Дом</t>
  </si>
  <si>
    <t>Квартира на вторичном рынке</t>
  </si>
  <si>
    <t>Ипотека на покупку дома</t>
  </si>
  <si>
    <t>Коммерческая недвижимость</t>
  </si>
  <si>
    <t>Рефинансирование ипотеки</t>
  </si>
  <si>
    <t>Рефинансирование ипотеки с консолидацией</t>
  </si>
  <si>
    <t>Отношение Доп. денег к Остатку Ссудной Задолженности (ОСЗ) в %%</t>
  </si>
  <si>
    <t>Список продуктов</t>
  </si>
  <si>
    <t>Список регионов</t>
  </si>
  <si>
    <t>Категория клиента</t>
  </si>
  <si>
    <t>Программа для таблицы</t>
  </si>
  <si>
    <t>Проверка на совпадение</t>
  </si>
  <si>
    <t>Резьтат поиска</t>
  </si>
  <si>
    <t>IT Ипотека</t>
  </si>
  <si>
    <t>А/П Полярный</t>
  </si>
  <si>
    <t>Прочие физические лица</t>
  </si>
  <si>
    <t>Дальневосточная ипотека</t>
  </si>
  <si>
    <t>Абакан</t>
  </si>
  <si>
    <t>Собственный бизнес/ ИП/ Частная практика</t>
  </si>
  <si>
    <t>Зарплатный клиент</t>
  </si>
  <si>
    <t>Ипотека на дом</t>
  </si>
  <si>
    <t>Адлер</t>
  </si>
  <si>
    <t>Работодатель взаимозависимое лицо (собств. бизнес)</t>
  </si>
  <si>
    <t>Сотрудник компании, входящей в АФК «Система»</t>
  </si>
  <si>
    <t>Ипотека с господдержкой</t>
  </si>
  <si>
    <t>Адыгея</t>
  </si>
  <si>
    <t>Клиент МТС Premium</t>
  </si>
  <si>
    <t>Квартира в новостройке</t>
  </si>
  <si>
    <t>Альметьевск</t>
  </si>
  <si>
    <t>Амурск</t>
  </si>
  <si>
    <t>Кредит под залог</t>
  </si>
  <si>
    <t>Анапа</t>
  </si>
  <si>
    <t>На любые цели</t>
  </si>
  <si>
    <t>Ангарск</t>
  </si>
  <si>
    <t>Рефинансирование</t>
  </si>
  <si>
    <t>Арзамас</t>
  </si>
  <si>
    <t>Рефинансирование с консолидацией</t>
  </si>
  <si>
    <t>Армавир</t>
  </si>
  <si>
    <t>Семейная ипотека</t>
  </si>
  <si>
    <t>Артем</t>
  </si>
  <si>
    <t>Семейная ипотека. Рефинансирование</t>
  </si>
  <si>
    <t>Архангельск</t>
  </si>
  <si>
    <t>Астрахань</t>
  </si>
  <si>
    <t>Ачинск</t>
  </si>
  <si>
    <t>Балашиха</t>
  </si>
  <si>
    <t>Барнаул</t>
  </si>
  <si>
    <t>Батайск</t>
  </si>
  <si>
    <t>Башкортостан</t>
  </si>
  <si>
    <t>Белгород</t>
  </si>
  <si>
    <t>Белогорск</t>
  </si>
  <si>
    <t>Бикин</t>
  </si>
  <si>
    <t>Биробиджан</t>
  </si>
  <si>
    <t>Благовещенск</t>
  </si>
  <si>
    <t>Брянск</t>
  </si>
  <si>
    <t>Ванино</t>
  </si>
  <si>
    <t>Великий Новгород</t>
  </si>
  <si>
    <t>Видное</t>
  </si>
  <si>
    <t>Владивосток</t>
  </si>
  <si>
    <t>Владикавказ</t>
  </si>
  <si>
    <t>Владимир</t>
  </si>
  <si>
    <t>Волгоград</t>
  </si>
  <si>
    <t>Волжский</t>
  </si>
  <si>
    <t>Вологда</t>
  </si>
  <si>
    <t>Воронеж</t>
  </si>
  <si>
    <t>Всеволожск</t>
  </si>
  <si>
    <t>Вяземский</t>
  </si>
  <si>
    <t>Дальневосточный</t>
  </si>
  <si>
    <t>Дедовск</t>
  </si>
  <si>
    <t>Де-Кастри</t>
  </si>
  <si>
    <t>Дзержинск</t>
  </si>
  <si>
    <t>Дмитров</t>
  </si>
  <si>
    <t>Ейск</t>
  </si>
  <si>
    <t>Екатеринбург</t>
  </si>
  <si>
    <t>Жуковский</t>
  </si>
  <si>
    <t>Зеленоград</t>
  </si>
  <si>
    <t>Иваново</t>
  </si>
  <si>
    <t>Ижевск</t>
  </si>
  <si>
    <t>Иркутск</t>
  </si>
  <si>
    <t>Ишимбай</t>
  </si>
  <si>
    <t>Казань</t>
  </si>
  <si>
    <t>Калининград</t>
  </si>
  <si>
    <t>Калуга</t>
  </si>
  <si>
    <t>Калужская область</t>
  </si>
  <si>
    <t>Канск</t>
  </si>
  <si>
    <t>Карелия</t>
  </si>
  <si>
    <t>Кемерово</t>
  </si>
  <si>
    <t>Киров</t>
  </si>
  <si>
    <t>Кисловодск</t>
  </si>
  <si>
    <t>Ковров</t>
  </si>
  <si>
    <t>Коломна</t>
  </si>
  <si>
    <t>Коми</t>
  </si>
  <si>
    <t>Комсомольск-На-Амуре</t>
  </si>
  <si>
    <t>Копейск</t>
  </si>
  <si>
    <t>Королев</t>
  </si>
  <si>
    <t>Кострома</t>
  </si>
  <si>
    <t>Красногорск</t>
  </si>
  <si>
    <t>Краснодар</t>
  </si>
  <si>
    <t>Красноярск</t>
  </si>
  <si>
    <t>Крым</t>
  </si>
  <si>
    <t>Кудрово</t>
  </si>
  <si>
    <t>Курган</t>
  </si>
  <si>
    <t>Курск</t>
  </si>
  <si>
    <t>Липецк</t>
  </si>
  <si>
    <t>Лобня</t>
  </si>
  <si>
    <t>Люберцы</t>
  </si>
  <si>
    <t>Майкоп</t>
  </si>
  <si>
    <t>Марий Эл</t>
  </si>
  <si>
    <t>Миасс</t>
  </si>
  <si>
    <t>Можайск</t>
  </si>
  <si>
    <t>Мордовия</t>
  </si>
  <si>
    <t>Москва</t>
  </si>
  <si>
    <t>Московская область</t>
  </si>
  <si>
    <t>Мурманск</t>
  </si>
  <si>
    <t>Муром</t>
  </si>
  <si>
    <t>Мытищи</t>
  </si>
  <si>
    <t>Набережные Челны</t>
  </si>
  <si>
    <t>Назрань</t>
  </si>
  <si>
    <t>Нальчик</t>
  </si>
  <si>
    <t>Находка</t>
  </si>
  <si>
    <t>Невинномысск</t>
  </si>
  <si>
    <t>Нефтекамск</t>
  </si>
  <si>
    <t>Нижегородская</t>
  </si>
  <si>
    <t>Нижневартовск</t>
  </si>
  <si>
    <t>Нижнекамск</t>
  </si>
  <si>
    <t>Нижний Новгород</t>
  </si>
  <si>
    <t>Нижний Тагил</t>
  </si>
  <si>
    <t>Николаевск-На-Амуре</t>
  </si>
  <si>
    <t>Новокубанск</t>
  </si>
  <si>
    <t>Новомосковск</t>
  </si>
  <si>
    <t>Новороссийск</t>
  </si>
  <si>
    <t>Новосибирск</t>
  </si>
  <si>
    <t>Новочебоксарск</t>
  </si>
  <si>
    <t>Новый Уренгой</t>
  </si>
  <si>
    <t>Норильск</t>
  </si>
  <si>
    <t>Ноябрьск</t>
  </si>
  <si>
    <t>Обнинск</t>
  </si>
  <si>
    <t>Одинцово</t>
  </si>
  <si>
    <t>Октябрьский</t>
  </si>
  <si>
    <t>Омск</t>
  </si>
  <si>
    <t>Орел</t>
  </si>
  <si>
    <t>Оренбург</t>
  </si>
  <si>
    <t>Орехово - Зуево</t>
  </si>
  <si>
    <t>Орск</t>
  </si>
  <si>
    <t>Пенза</t>
  </si>
  <si>
    <t>Переяславка</t>
  </si>
  <si>
    <t>Пермь</t>
  </si>
  <si>
    <t>Петрозаводск</t>
  </si>
  <si>
    <t>Петропавловск- Камчатский</t>
  </si>
  <si>
    <t>Подольск</t>
  </si>
  <si>
    <t>Псков</t>
  </si>
  <si>
    <t>Реутов</t>
  </si>
  <si>
    <t>Ростов-На-Дону</t>
  </si>
  <si>
    <t>Рязань</t>
  </si>
  <si>
    <t>Салават</t>
  </si>
  <si>
    <t>Самара</t>
  </si>
  <si>
    <t>Санкт-Петербург</t>
  </si>
  <si>
    <t>Саранск</t>
  </si>
  <si>
    <t>Саратов</t>
  </si>
  <si>
    <t>Северск</t>
  </si>
  <si>
    <t>Сергиев Посад</t>
  </si>
  <si>
    <t>Серпухов</t>
  </si>
  <si>
    <t>Смоленск</t>
  </si>
  <si>
    <t>Советская Гавань</t>
  </si>
  <si>
    <t>Солнечный</t>
  </si>
  <si>
    <t>Соловьевск</t>
  </si>
  <si>
    <t>Сочи</t>
  </si>
  <si>
    <t>Ставрополь</t>
  </si>
  <si>
    <t>Стерлитамак</t>
  </si>
  <si>
    <t>Сургут</t>
  </si>
  <si>
    <t>Сызрань</t>
  </si>
  <si>
    <t>Сыктывкар</t>
  </si>
  <si>
    <t>Таганрог</t>
  </si>
  <si>
    <t>Тамбов</t>
  </si>
  <si>
    <t>Татарстан</t>
  </si>
  <si>
    <t>Тверь</t>
  </si>
  <si>
    <t>Тольятти</t>
  </si>
  <si>
    <t>Томск</t>
  </si>
  <si>
    <t>Туймазы</t>
  </si>
  <si>
    <t>Тула</t>
  </si>
  <si>
    <t>Тында</t>
  </si>
  <si>
    <t>Тюмень</t>
  </si>
  <si>
    <t>Улан - Удэ</t>
  </si>
  <si>
    <t>Ульяновск</t>
  </si>
  <si>
    <t>Усолье-Сибирское</t>
  </si>
  <si>
    <t>Уссурийск</t>
  </si>
  <si>
    <t>Уфа</t>
  </si>
  <si>
    <t>Ухта</t>
  </si>
  <si>
    <t>Хабаровск</t>
  </si>
  <si>
    <t>Хакасия</t>
  </si>
  <si>
    <t>Химки</t>
  </si>
  <si>
    <t>Хмао-Югра</t>
  </si>
  <si>
    <t>Хор</t>
  </si>
  <si>
    <t>Чебоксары</t>
  </si>
  <si>
    <t>Чегдомын</t>
  </si>
  <si>
    <t>Челябинск</t>
  </si>
  <si>
    <t>Череповец</t>
  </si>
  <si>
    <t>Черкесск</t>
  </si>
  <si>
    <t>Чита</t>
  </si>
  <si>
    <t>Щелково</t>
  </si>
  <si>
    <t>Электросталь</t>
  </si>
  <si>
    <t>Энгельс</t>
  </si>
  <si>
    <t>Южно-Сахалинск</t>
  </si>
  <si>
    <t>Якутск</t>
  </si>
  <si>
    <t>Ярославль</t>
  </si>
  <si>
    <t>Балаково</t>
  </si>
  <si>
    <t>Березники</t>
  </si>
  <si>
    <t>Бийск</t>
  </si>
  <si>
    <t>Большой Камень</t>
  </si>
  <si>
    <t>Братск</t>
  </si>
  <si>
    <t>Волгодонск</t>
  </si>
  <si>
    <t>Выборг</t>
  </si>
  <si>
    <t>Лыткарино</t>
  </si>
  <si>
    <t>Железнодорожный</t>
  </si>
  <si>
    <t>Ярцево</t>
  </si>
  <si>
    <t>Грозный</t>
  </si>
  <si>
    <t>Сертолово</t>
  </si>
  <si>
    <t>г. Москва</t>
  </si>
  <si>
    <t>г. Владимир</t>
  </si>
  <si>
    <t>г. Владивосток</t>
  </si>
  <si>
    <t>г. Видное Московская обл.</t>
  </si>
  <si>
    <t>г. Екатеринбург</t>
  </si>
  <si>
    <t>г. Калининград</t>
  </si>
  <si>
    <t>г. Нижний Новгород</t>
  </si>
  <si>
    <t>г. Балашиха Московская обл.</t>
  </si>
  <si>
    <t>г. Анапа</t>
  </si>
  <si>
    <t>г. Волгоград</t>
  </si>
  <si>
    <t>г. Краснодар</t>
  </si>
  <si>
    <t>г. Красноярск</t>
  </si>
  <si>
    <t>г. Омск</t>
  </si>
  <si>
    <t>г. Подольск Московской обл</t>
  </si>
  <si>
    <t>г. Ростов-на-Дону</t>
  </si>
  <si>
    <t>Ростов-на-Дону</t>
  </si>
  <si>
    <t>г. Рязань</t>
  </si>
  <si>
    <t>г. Санкт-Петербург</t>
  </si>
  <si>
    <t>г. Сочи</t>
  </si>
  <si>
    <t>г. Ставрополь</t>
  </si>
  <si>
    <t>г. Тольятти</t>
  </si>
  <si>
    <t>г. Томск</t>
  </si>
  <si>
    <t>г. Тюмень</t>
  </si>
  <si>
    <t>г. Уфа</t>
  </si>
  <si>
    <t>г. Хабаровск</t>
  </si>
  <si>
    <t>г. Химки Московской обл.</t>
  </si>
  <si>
    <t>г. Чебоксары</t>
  </si>
  <si>
    <t>Геленджик</t>
  </si>
  <si>
    <t>Ивантеевка</t>
  </si>
  <si>
    <t>г. Воронеж</t>
  </si>
  <si>
    <t>г. Казань</t>
  </si>
  <si>
    <t>г. Набережные Челны</t>
  </si>
  <si>
    <t>г. Новосибирск</t>
  </si>
  <si>
    <t>г. Пермь</t>
  </si>
  <si>
    <t>г. Самара</t>
  </si>
  <si>
    <t>г. Саратов</t>
  </si>
  <si>
    <t>г. Тула</t>
  </si>
  <si>
    <t>г. Химки</t>
  </si>
  <si>
    <t>г. Челябинск</t>
  </si>
  <si>
    <t>г. Вологда</t>
  </si>
  <si>
    <t>г. Воркута</t>
  </si>
  <si>
    <t>Воркута</t>
  </si>
  <si>
    <t>г. Благовещенск</t>
  </si>
  <si>
    <t>г. Ангарск</t>
  </si>
  <si>
    <t>г. Асбест</t>
  </si>
  <si>
    <t>Асбест</t>
  </si>
  <si>
    <t>г. Ижевск</t>
  </si>
  <si>
    <t>г. Калуга</t>
  </si>
  <si>
    <t>г. Иркутск</t>
  </si>
  <si>
    <t>Уркутск</t>
  </si>
  <si>
    <t>г. Тында</t>
  </si>
  <si>
    <t>г. Туймазы</t>
  </si>
  <si>
    <t>г. Сыктывкар</t>
  </si>
  <si>
    <t>г. Стерлитамак</t>
  </si>
  <si>
    <t>г. Смоленск</t>
  </si>
  <si>
    <t>г. Новороссийск</t>
  </si>
  <si>
    <t>г. Альметьевск</t>
  </si>
  <si>
    <t>г. Киров</t>
  </si>
  <si>
    <t>г. Комсомольск-на-Амуре</t>
  </si>
  <si>
    <t>Комсомольск-на-Амуре</t>
  </si>
  <si>
    <t>г. Можга</t>
  </si>
  <si>
    <t>Можга</t>
  </si>
  <si>
    <t>г. Наро-Фоминск</t>
  </si>
  <si>
    <t>Наро-Фоминск</t>
  </si>
  <si>
    <t>г. Нижнекамск</t>
  </si>
  <si>
    <t>г. Ульяновск</t>
  </si>
  <si>
    <t xml:space="preserve">г. Череповец </t>
  </si>
  <si>
    <t xml:space="preserve">Череповец </t>
  </si>
  <si>
    <t>г. Ярославль</t>
  </si>
  <si>
    <t>Азов</t>
  </si>
  <si>
    <t>Арамиль</t>
  </si>
  <si>
    <t>Бронницы</t>
  </si>
  <si>
    <t>Верхняя Пышма</t>
  </si>
  <si>
    <t>верхняя пышма</t>
  </si>
  <si>
    <t>г.  Армавир</t>
  </si>
  <si>
    <t>г. Ессентуки</t>
  </si>
  <si>
    <t>Ессентуки</t>
  </si>
  <si>
    <t>г. Мытищи</t>
  </si>
  <si>
    <t>г. Нефтекамск</t>
  </si>
  <si>
    <t>г. Новокубанск</t>
  </si>
  <si>
    <t>г. Тверь</t>
  </si>
  <si>
    <t>Гатчина</t>
  </si>
  <si>
    <t>долгопрудный</t>
  </si>
  <si>
    <t>Долгопрудный</t>
  </si>
  <si>
    <t>Домодедово</t>
  </si>
  <si>
    <t>звенигород</t>
  </si>
  <si>
    <t>Звенигород</t>
  </si>
  <si>
    <t>зеленодольск</t>
  </si>
  <si>
    <t>Зеленодольск</t>
  </si>
  <si>
    <t>Крымск</t>
  </si>
  <si>
    <t>Ростов на дону</t>
  </si>
  <si>
    <t>Сегежа</t>
  </si>
  <si>
    <t>г.Уфа</t>
  </si>
  <si>
    <t>Сарапул</t>
  </si>
  <si>
    <t>г. Химки Московская обл</t>
  </si>
  <si>
    <t>г. Мурино, Ленинградская обл</t>
  </si>
  <si>
    <t>Мурино</t>
  </si>
  <si>
    <t>г. Сестрорецк</t>
  </si>
  <si>
    <t>Сестрорецк</t>
  </si>
  <si>
    <t>г. Мурино Ленинградской обл</t>
  </si>
  <si>
    <t>г. Всеволожск Ленинградской обл</t>
  </si>
  <si>
    <t>г Комсомольск-на-Амуре</t>
  </si>
  <si>
    <t>Ногинск</t>
  </si>
  <si>
    <t>ногинск</t>
  </si>
  <si>
    <t>Отрадное</t>
  </si>
  <si>
    <t>отрадное</t>
  </si>
  <si>
    <t>пушкино</t>
  </si>
  <si>
    <t>Пушкино</t>
  </si>
  <si>
    <t>Раменское</t>
  </si>
  <si>
    <t>Свердловская область</t>
  </si>
  <si>
    <t>Троицк</t>
  </si>
  <si>
    <t>чехов</t>
  </si>
  <si>
    <t>Чехов</t>
  </si>
  <si>
    <t>холмск</t>
  </si>
  <si>
    <t>Холмск</t>
  </si>
  <si>
    <t>Ступино</t>
  </si>
  <si>
    <t>ступино</t>
  </si>
  <si>
    <t>Полевской</t>
  </si>
  <si>
    <t>пгт Яблоновский</t>
  </si>
  <si>
    <t>п. Янино Ленинградская обл</t>
  </si>
  <si>
    <t>п. Янино-1 Ленинградская обл.</t>
  </si>
  <si>
    <t>новочеркасск</t>
  </si>
  <si>
    <t>Новочеркасск</t>
  </si>
  <si>
    <t>Михайловск</t>
  </si>
  <si>
    <t>Лабинск</t>
  </si>
  <si>
    <t>Кумертау</t>
  </si>
  <si>
    <t>Красноармейск</t>
  </si>
  <si>
    <t>костерево</t>
  </si>
  <si>
    <t>корсаков</t>
  </si>
  <si>
    <t>коркино</t>
  </si>
  <si>
    <t>клин</t>
  </si>
  <si>
    <t>Кириши</t>
  </si>
  <si>
    <t>Кингисепп</t>
  </si>
  <si>
    <t>Ивангород</t>
  </si>
  <si>
    <t>Заинск</t>
  </si>
  <si>
    <t>Ефремов</t>
  </si>
  <si>
    <t>Елабуга</t>
  </si>
  <si>
    <t>дзержинский</t>
  </si>
  <si>
    <t>Дзержинский</t>
  </si>
  <si>
    <t>Давлеканово</t>
  </si>
  <si>
    <t>г.Ростов-на-Дону</t>
  </si>
  <si>
    <t>г. Южно-Сахалинск</t>
  </si>
  <si>
    <t>г. Электроугли Московской обл</t>
  </si>
  <si>
    <t>Электроугли</t>
  </si>
  <si>
    <t>г. Чехов</t>
  </si>
  <si>
    <t>Апрелевка</t>
  </si>
  <si>
    <t>апрелевка</t>
  </si>
  <si>
    <t>Балахна</t>
  </si>
  <si>
    <t>Белая Калитва</t>
  </si>
  <si>
    <t>Бугульма</t>
  </si>
  <si>
    <t>верхняя салда</t>
  </si>
  <si>
    <t>Верхняя Салда</t>
  </si>
  <si>
    <t>волоколамск</t>
  </si>
  <si>
    <t>Волоколамск</t>
  </si>
  <si>
    <t>воскресенск</t>
  </si>
  <si>
    <t>Воскресенск</t>
  </si>
  <si>
    <t>Богородицк</t>
  </si>
  <si>
    <t>Вязники</t>
  </si>
  <si>
    <t>г. Балаково, Саратовской обл.</t>
  </si>
  <si>
    <t>г. Балашиха Московской обл</t>
  </si>
  <si>
    <t>г. Балашиха, Московская обл</t>
  </si>
  <si>
    <t>г. Владмир</t>
  </si>
  <si>
    <t>г. Волжский Волгоградская обл.</t>
  </si>
  <si>
    <t>г. Волжский</t>
  </si>
  <si>
    <t>г. Выборг Ленинградской обл</t>
  </si>
  <si>
    <t>г. Выкса Нижегородская обл.</t>
  </si>
  <si>
    <t>Выкса</t>
  </si>
  <si>
    <t>г. Дзержинск Нижегородская обл</t>
  </si>
  <si>
    <t>г. Долгопрудный Московская обл.</t>
  </si>
  <si>
    <t>г. Домодедово</t>
  </si>
  <si>
    <t>г. Егорьевск, Московская обл</t>
  </si>
  <si>
    <t>Егорьевск</t>
  </si>
  <si>
    <t>г. Жуковский Московская обл.</t>
  </si>
  <si>
    <t>г. Истра Московской обл</t>
  </si>
  <si>
    <t>истра</t>
  </si>
  <si>
    <t>г. Канаш, Чувашская республика</t>
  </si>
  <si>
    <t>Канаш</t>
  </si>
  <si>
    <t>г. Кингисепп</t>
  </si>
  <si>
    <t>г. Киров Кировская обл.</t>
  </si>
  <si>
    <t>г. Киров, Кировская обл.</t>
  </si>
  <si>
    <t>г. Киров, Кировская обл</t>
  </si>
  <si>
    <t>г. Коркино, Челябинская обл</t>
  </si>
  <si>
    <t>Коркино</t>
  </si>
  <si>
    <t>г. Котельники Московская обл.</t>
  </si>
  <si>
    <t>Котельники</t>
  </si>
  <si>
    <t>г. Красногорск Московская обл.</t>
  </si>
  <si>
    <t>г. Красногорск Московской обл</t>
  </si>
  <si>
    <t>г. Красногорск</t>
  </si>
  <si>
    <t>г. Кстово, Нижегородская обл</t>
  </si>
  <si>
    <t>Кстово</t>
  </si>
  <si>
    <t>г. Кубинка</t>
  </si>
  <si>
    <t>Кубинка</t>
  </si>
  <si>
    <t>г. Кудрово, Ленинградская обл.</t>
  </si>
  <si>
    <t>г. Лиски Воронежская обл.</t>
  </si>
  <si>
    <t>Лиски</t>
  </si>
  <si>
    <t>г. Лыткарино Московской обл</t>
  </si>
  <si>
    <t>г. Люберцы Московская обл</t>
  </si>
  <si>
    <t>г. Люберцы</t>
  </si>
  <si>
    <t>г. Мелеуз</t>
  </si>
  <si>
    <t>Мелеуз</t>
  </si>
  <si>
    <t>г. Менделеевск, Татарстан</t>
  </si>
  <si>
    <t>Менделеевск</t>
  </si>
  <si>
    <t>г. Можга, Удмуртия</t>
  </si>
  <si>
    <t xml:space="preserve">г. Москва, </t>
  </si>
  <si>
    <t>г. Москва, п. Развилка</t>
  </si>
  <si>
    <t>г. Мурино Ленинградская обл</t>
  </si>
  <si>
    <t>г. Мурино, Ленинградская обл.</t>
  </si>
  <si>
    <t>г. Мытищи Московской обл</t>
  </si>
  <si>
    <t>г. Мытищи, Московская обл.</t>
  </si>
  <si>
    <t>г. Находка</t>
  </si>
  <si>
    <t>г. Нижний Новгород  (область)</t>
  </si>
  <si>
    <t>г. Нижний Тагил</t>
  </si>
  <si>
    <t>г. Новокубанск, Краснодарский край</t>
  </si>
  <si>
    <t>г. Ногинск Московской обл.</t>
  </si>
  <si>
    <t>г. Обь, Новосибирская обл</t>
  </si>
  <si>
    <t>Обь</t>
  </si>
  <si>
    <t>г. Одинцово</t>
  </si>
  <si>
    <t>г. Октябрьк Самарская обл</t>
  </si>
  <si>
    <t>Октябрьск</t>
  </si>
  <si>
    <t>г. Пятигорск</t>
  </si>
  <si>
    <t>Пятигорск</t>
  </si>
  <si>
    <t>г. Раменское Московская обл</t>
  </si>
  <si>
    <t>г. Ревда Свердловская обл.</t>
  </si>
  <si>
    <t>Ревда</t>
  </si>
  <si>
    <t>г. Реж Свердловская обл</t>
  </si>
  <si>
    <t>Реж</t>
  </si>
  <si>
    <t>г. Реутов Московская обл.</t>
  </si>
  <si>
    <t>г. Реутов</t>
  </si>
  <si>
    <t>г. Северск</t>
  </si>
  <si>
    <t>г. Сергиев Посад</t>
  </si>
  <si>
    <t>г. Серпухов</t>
  </si>
  <si>
    <t>г. Солнечногорск, Московская обл</t>
  </si>
  <si>
    <t>Солнечногорск</t>
  </si>
  <si>
    <t>г. Солнечногорск</t>
  </si>
  <si>
    <t>г. Сосновый Бор, Ленинградская обл</t>
  </si>
  <si>
    <t>Сосновый Бор</t>
  </si>
  <si>
    <t>г. Ступино Московская обл</t>
  </si>
  <si>
    <t>г. Суздаль Владимирская обл</t>
  </si>
  <si>
    <t>Суздаль</t>
  </si>
  <si>
    <t>г. Сухой Лог Свердловская обл</t>
  </si>
  <si>
    <t>Сухой Лог</t>
  </si>
  <si>
    <t>г. Темрюк Краснодарского кр.</t>
  </si>
  <si>
    <t>Темрюк</t>
  </si>
  <si>
    <t>г. Томилино Московская обл</t>
  </si>
  <si>
    <t>Томилино</t>
  </si>
  <si>
    <t>г. Узловая Тульской обл</t>
  </si>
  <si>
    <t>Узловая</t>
  </si>
  <si>
    <t>г. Уссурийск Приморский край</t>
  </si>
  <si>
    <t>г. Уссурийск</t>
  </si>
  <si>
    <t>норм.</t>
  </si>
  <si>
    <t>Минимальный ПВ</t>
  </si>
  <si>
    <t>Надбавка к ставкам для уличных клиентов</t>
  </si>
  <si>
    <t xml:space="preserve">Партнер </t>
  </si>
  <si>
    <t>Платеж по комиссии</t>
  </si>
  <si>
    <t>Макс сумма</t>
  </si>
  <si>
    <t>&lt;20,1%</t>
  </si>
  <si>
    <t>&lt;30,1%</t>
  </si>
  <si>
    <t>&gt;=30,1%</t>
  </si>
  <si>
    <t>Новая ставка при ПВ 15,1%</t>
  </si>
  <si>
    <t>Новая ставка при ПВ 20,1%</t>
  </si>
  <si>
    <t>Новая ставка при ПВ 30,1%</t>
  </si>
  <si>
    <t>При отсутствии страхования жизни и здоровья</t>
  </si>
  <si>
    <t>при отсутствии страхования объекта залога</t>
  </si>
  <si>
    <t>Сюда ставку вставляешь и все</t>
  </si>
  <si>
    <t>ПВ от 15,1%</t>
  </si>
  <si>
    <t>ПВ от 20,1%</t>
  </si>
  <si>
    <t>ПВ от 30,1%</t>
  </si>
  <si>
    <t>Преференция партнеров</t>
  </si>
  <si>
    <t>ИП или не ИП</t>
  </si>
  <si>
    <t>КЛИЕНТ</t>
  </si>
  <si>
    <t>КЗ</t>
  </si>
  <si>
    <t>&gt;69,9%, но &lt;=79,9%</t>
  </si>
  <si>
    <t>&lt;=69,9%</t>
  </si>
  <si>
    <t>Новая ставка при (69,9% - 79,9%]</t>
  </si>
  <si>
    <t>ТипНедв</t>
  </si>
  <si>
    <t>Новая ставка при [0% - 69,9%]</t>
  </si>
  <si>
    <t xml:space="preserve">При объекте залога дом </t>
  </si>
  <si>
    <t>При отсутствии страхования объекта залога</t>
  </si>
  <si>
    <t>Ставка из вторички</t>
  </si>
  <si>
    <t>Надбавка</t>
  </si>
  <si>
    <t>Тип рефинансируемой ипотеки</t>
  </si>
  <si>
    <t>Внутренний реф</t>
  </si>
  <si>
    <t>Ипотека в стороннем банке</t>
  </si>
  <si>
    <t>&lt;70%</t>
  </si>
  <si>
    <t>&gt;=70%, &lt;=79,9%</t>
  </si>
  <si>
    <t>Новая ставка при [70% - 79,9%]</t>
  </si>
  <si>
    <t>Новая ставка при [0% - 70%)</t>
  </si>
  <si>
    <t>Внутренний рефин</t>
  </si>
  <si>
    <t>Объект залога</t>
  </si>
  <si>
    <t>Ставки из рефина</t>
  </si>
  <si>
    <t/>
  </si>
  <si>
    <t>Ленинградская область</t>
  </si>
  <si>
    <t>ленинградская область</t>
  </si>
  <si>
    <t>Черняховск</t>
  </si>
  <si>
    <t>Сысерть</t>
  </si>
  <si>
    <t>Семилуки</t>
  </si>
  <si>
    <t>Колпино</t>
  </si>
  <si>
    <t>Щёлково</t>
  </si>
  <si>
    <t>Лысково</t>
  </si>
  <si>
    <t>Кропоткин</t>
  </si>
  <si>
    <t>Калачинск</t>
  </si>
  <si>
    <t>Електроугли</t>
  </si>
  <si>
    <t>електро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</si>
</sst>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43" formatCode="_-* #,##0.00\ _₽_-;\-* #,##0.00\ _₽_-;_-* &quot;-&quot;??\ _₽_-;_-@_-"/>
    <numFmt numFmtId="164" formatCode="0.0%"/>
    <numFmt numFmtId="165" formatCode="0.000"/>
    <numFmt numFmtId="166" formatCode="0.000%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MTS Sans"/>
      <family val="3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MTS Sans"/>
      <family val="3"/>
    </font>
    <font>
      <b/>
      <sz val="14"/>
      <color theme="1"/>
      <name val="MTS Sans"/>
      <charset val="204"/>
    </font>
    <font>
      <sz val="2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FA7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7">
    <xf numFmtId="0" fontId="0" fillId="0" borderId="0" xfId="0"/>
    <xf numFmtId="0" fontId="0" fillId="3" borderId="0" xfId="0" applyFill="1"/>
    <xf numFmtId="10" fontId="0" fillId="0" borderId="0" xfId="0" applyNumberFormat="1"/>
    <xf numFmtId="9" fontId="0" fillId="0" borderId="0" xfId="1" applyFont="1"/>
    <xf numFmtId="164" fontId="0" fillId="0" borderId="0" xfId="1" applyNumberFormat="1" applyFont="1"/>
    <xf numFmtId="8" fontId="0" fillId="0" borderId="0" xfId="0" applyNumberFormat="1"/>
    <xf numFmtId="9" fontId="0" fillId="0" borderId="0" xfId="0" applyNumberFormat="1"/>
    <xf numFmtId="3" fontId="0" fillId="0" borderId="0" xfId="0" applyNumberForma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3" xfId="0" applyFont="1" applyBorder="1" applyProtection="1">
      <protection locked="0"/>
    </xf>
    <xf numFmtId="0" fontId="3" fillId="4" borderId="4" xfId="0" applyFont="1" applyFill="1" applyBorder="1" applyProtection="1">
      <protection locked="0"/>
    </xf>
    <xf numFmtId="164" fontId="0" fillId="0" borderId="4" xfId="1" applyNumberFormat="1" applyFont="1" applyBorder="1" applyProtection="1">
      <protection locked="0"/>
    </xf>
    <xf numFmtId="3" fontId="0" fillId="0" borderId="4" xfId="1" applyNumberFormat="1" applyFont="1" applyBorder="1" applyProtection="1">
      <protection locked="0"/>
    </xf>
    <xf numFmtId="3" fontId="0" fillId="0" borderId="4" xfId="0" applyNumberFormat="1" applyBorder="1" applyProtection="1">
      <protection locked="0"/>
    </xf>
    <xf numFmtId="0" fontId="2" fillId="0" borderId="5" xfId="0" applyFont="1" applyBorder="1" applyProtection="1">
      <protection locked="0"/>
    </xf>
    <xf numFmtId="1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2" xfId="1" applyNumberFormat="1" applyFont="1" applyBorder="1" applyProtection="1">
      <protection locked="0"/>
    </xf>
    <xf numFmtId="10" fontId="0" fillId="0" borderId="0" xfId="1" applyNumberFormat="1" applyFont="1"/>
    <xf numFmtId="165" fontId="0" fillId="0" borderId="0" xfId="0" applyNumberFormat="1"/>
    <xf numFmtId="2" fontId="0" fillId="0" borderId="0" xfId="0" applyNumberFormat="1"/>
    <xf numFmtId="0" fontId="0" fillId="2" borderId="4" xfId="0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3" fontId="0" fillId="2" borderId="4" xfId="0" applyNumberFormat="1" applyFill="1" applyBorder="1"/>
    <xf numFmtId="10" fontId="5" fillId="0" borderId="0" xfId="0" applyNumberFormat="1" applyFont="1" applyAlignment="1">
      <alignment vertical="center" wrapText="1"/>
    </xf>
    <xf numFmtId="164" fontId="0" fillId="0" borderId="0" xfId="0" applyNumberFormat="1"/>
    <xf numFmtId="166" fontId="0" fillId="0" borderId="0" xfId="0" applyNumberFormat="1"/>
    <xf numFmtId="0" fontId="2" fillId="0" borderId="3" xfId="0" applyFont="1" applyBorder="1"/>
    <xf numFmtId="0" fontId="0" fillId="2" borderId="6" xfId="0" applyFill="1" applyBorder="1"/>
    <xf numFmtId="0" fontId="2" fillId="0" borderId="7" xfId="0" applyFont="1" applyBorder="1"/>
    <xf numFmtId="8" fontId="2" fillId="0" borderId="8" xfId="0" applyNumberFormat="1" applyFont="1" applyBorder="1"/>
    <xf numFmtId="3" fontId="0" fillId="2" borderId="2" xfId="0" applyNumberFormat="1" applyFill="1" applyBorder="1"/>
    <xf numFmtId="10" fontId="0" fillId="2" borderId="4" xfId="1" applyNumberFormat="1" applyFont="1" applyFill="1" applyBorder="1"/>
    <xf numFmtId="0" fontId="6" fillId="0" borderId="0" xfId="0" applyFont="1" applyAlignment="1" applyProtection="1">
      <alignment vertical="top"/>
      <protection hidden="1"/>
    </xf>
    <xf numFmtId="3" fontId="6" fillId="0" borderId="0" xfId="0" applyNumberFormat="1" applyFont="1" applyAlignment="1" applyProtection="1">
      <alignment vertical="top"/>
      <protection hidden="1"/>
    </xf>
    <xf numFmtId="10" fontId="6" fillId="0" borderId="0" xfId="1" applyNumberFormat="1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6" fillId="0" borderId="0" xfId="0" applyFont="1" applyProtection="1">
      <protection hidden="1"/>
    </xf>
    <xf numFmtId="8" fontId="6" fillId="0" borderId="0" xfId="0" applyNumberFormat="1" applyFont="1" applyAlignment="1" applyProtection="1">
      <alignment vertical="top"/>
      <protection hidden="1"/>
    </xf>
    <xf numFmtId="0" fontId="2" fillId="2" borderId="7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43" fontId="0" fillId="2" borderId="4" xfId="2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2" fontId="8" fillId="0" borderId="12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7" fillId="2" borderId="9" xfId="0" applyFont="1" applyFill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0" fillId="0" borderId="0" xfId="0" quotePrefix="1"/>
    <xf numFmtId="0" fontId="0" fillId="0" borderId="0" xfId="0" quotePrefix="1" applyProtection="1">
      <protection locked="0"/>
    </xf>
    <xf numFmtId="4" fontId="0" fillId="2" borderId="4" xfId="0" applyNumberFormat="1" applyFill="1" applyBorder="1" applyProtection="1">
      <protection locked="0"/>
    </xf>
    <xf numFmtId="0" fontId="11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4" fontId="10" fillId="0" borderId="19" xfId="0" applyNumberFormat="1" applyFont="1" applyBorder="1" applyAlignment="1">
      <alignment horizontal="left" vertical="center" wrapText="1"/>
    </xf>
    <xf numFmtId="164" fontId="10" fillId="0" borderId="19" xfId="0" applyNumberFormat="1" applyFont="1" applyBorder="1" applyAlignment="1">
      <alignment horizontal="left" vertical="center" wrapText="1"/>
    </xf>
    <xf numFmtId="4" fontId="0" fillId="0" borderId="0" xfId="0" applyNumberFormat="1" applyProtection="1">
      <protection locked="0"/>
    </xf>
    <xf numFmtId="0" fontId="2" fillId="0" borderId="9" xfId="0" applyFont="1" applyBorder="1"/>
    <xf numFmtId="0" fontId="2" fillId="0" borderId="3" xfId="0" applyFont="1" applyBorder="1" applyAlignment="1" applyProtection="1">
      <alignment wrapText="1"/>
      <protection locked="0"/>
    </xf>
    <xf numFmtId="0" fontId="9" fillId="0" borderId="9" xfId="0" applyFont="1" applyBorder="1" applyProtection="1">
      <protection locked="0"/>
    </xf>
    <xf numFmtId="0" fontId="12" fillId="0" borderId="0" xfId="0" applyFont="1" applyProtection="1">
      <protection locked="0"/>
    </xf>
    <xf numFmtId="0" fontId="0" fillId="2" borderId="6" xfId="0" applyFill="1" applyBorder="1" applyProtection="1">
      <protection locked="0"/>
    </xf>
    <xf numFmtId="0" fontId="15" fillId="0" borderId="14" xfId="3" applyFont="1" applyBorder="1" applyProtection="1">
      <protection locked="0"/>
    </xf>
    <xf numFmtId="0" fontId="7" fillId="7" borderId="9" xfId="0" applyFont="1" applyFill="1" applyBorder="1" applyProtection="1">
      <protection locked="0"/>
    </xf>
    <xf numFmtId="3" fontId="0" fillId="0" borderId="2" xfId="0" applyNumberFormat="1" applyBorder="1"/>
    <xf numFmtId="3" fontId="0" fillId="0" borderId="4" xfId="0" applyNumberFormat="1" applyBorder="1"/>
    <xf numFmtId="0" fontId="0" fillId="0" borderId="4" xfId="0" applyBorder="1"/>
    <xf numFmtId="0" fontId="0" fillId="0" borderId="0" xfId="0" applyProtection="1">
      <protection hidden="1"/>
    </xf>
    <xf numFmtId="0" fontId="0" fillId="0" borderId="2" xfId="0" applyBorder="1"/>
    <xf numFmtId="3" fontId="0" fillId="2" borderId="6" xfId="0" applyNumberFormat="1" applyFill="1" applyBorder="1" applyProtection="1">
      <protection locked="0"/>
    </xf>
    <xf numFmtId="0" fontId="0" fillId="6" borderId="21" xfId="0" applyFill="1" applyBorder="1" applyAlignment="1" applyProtection="1">
      <alignment wrapText="1"/>
      <protection locked="0" hidden="1"/>
    </xf>
    <xf numFmtId="0" fontId="16" fillId="0" borderId="3" xfId="0" applyFont="1" applyBorder="1" applyProtection="1">
      <protection locked="0"/>
    </xf>
    <xf numFmtId="4" fontId="0" fillId="0" borderId="0" xfId="0" applyNumberFormat="1"/>
    <xf numFmtId="10" fontId="0" fillId="0" borderId="4" xfId="1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17" fillId="5" borderId="3" xfId="0" applyFont="1" applyFill="1" applyBorder="1" applyProtection="1">
      <protection locked="0"/>
    </xf>
    <xf numFmtId="0" fontId="8" fillId="0" borderId="0" xfId="0" applyFont="1" applyProtection="1">
      <protection locked="0"/>
    </xf>
    <xf numFmtId="2" fontId="8" fillId="0" borderId="0" xfId="0" applyNumberFormat="1" applyFont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1" xfId="0" applyFont="1" applyBorder="1"/>
    <xf numFmtId="0" fontId="7" fillId="0" borderId="5" xfId="0" applyFont="1" applyBorder="1"/>
    <xf numFmtId="0" fontId="2" fillId="0" borderId="0" xfId="0" applyFont="1"/>
    <xf numFmtId="10" fontId="0" fillId="2" borderId="8" xfId="1" applyNumberFormat="1" applyFont="1" applyFill="1" applyBorder="1"/>
    <xf numFmtId="0" fontId="0" fillId="0" borderId="6" xfId="0" applyBorder="1"/>
    <xf numFmtId="10" fontId="0" fillId="0" borderId="4" xfId="1" applyNumberFormat="1" applyFont="1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8" fontId="0" fillId="0" borderId="8" xfId="0" applyNumberFormat="1" applyBorder="1"/>
    <xf numFmtId="4" fontId="8" fillId="0" borderId="9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0" xfId="0" applyFont="1" applyAlignment="1">
      <alignment vertical="center" wrapText="1"/>
    </xf>
    <xf numFmtId="4" fontId="10" fillId="0" borderId="0" xfId="0" applyNumberFormat="1" applyFont="1" applyAlignment="1">
      <alignment horizontal="left" vertical="center" wrapText="1"/>
    </xf>
    <xf numFmtId="0" fontId="22" fillId="0" borderId="0" xfId="0" applyFont="1" applyProtection="1">
      <protection locked="0"/>
    </xf>
    <xf numFmtId="0" fontId="22" fillId="0" borderId="0" xfId="0" applyFont="1"/>
    <xf numFmtId="0" fontId="7" fillId="0" borderId="9" xfId="0" applyFont="1" applyBorder="1" applyProtection="1">
      <protection locked="0"/>
    </xf>
    <xf numFmtId="0" fontId="23" fillId="0" borderId="0" xfId="0" applyFont="1" applyAlignment="1" applyProtection="1">
      <alignment vertical="top"/>
      <protection hidden="1"/>
    </xf>
    <xf numFmtId="0" fontId="2" fillId="0" borderId="7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8" fontId="7" fillId="0" borderId="0" xfId="0" applyNumberFormat="1" applyFont="1"/>
    <xf numFmtId="10" fontId="24" fillId="2" borderId="0" xfId="1" applyNumberFormat="1" applyFont="1" applyFill="1" applyAlignment="1" applyProtection="1">
      <alignment vertical="top"/>
      <protection hidden="1"/>
    </xf>
    <xf numFmtId="3" fontId="24" fillId="2" borderId="0" xfId="0" applyNumberFormat="1" applyFont="1" applyFill="1" applyAlignment="1" applyProtection="1">
      <alignment vertical="top"/>
      <protection hidden="1"/>
    </xf>
    <xf numFmtId="3" fontId="24" fillId="0" borderId="0" xfId="0" applyNumberFormat="1" applyFont="1" applyAlignment="1" applyProtection="1">
      <alignment vertical="top"/>
      <protection hidden="1"/>
    </xf>
    <xf numFmtId="0" fontId="24" fillId="0" borderId="0" xfId="0" applyFont="1" applyAlignment="1" applyProtection="1">
      <alignment vertical="top"/>
      <protection hidden="1"/>
    </xf>
    <xf numFmtId="8" fontId="24" fillId="0" borderId="0" xfId="0" applyNumberFormat="1" applyFont="1" applyAlignment="1" applyProtection="1">
      <alignment vertical="top"/>
      <protection hidden="1"/>
    </xf>
    <xf numFmtId="0" fontId="2" fillId="5" borderId="9" xfId="0" applyFont="1" applyFill="1" applyBorder="1" applyProtection="1">
      <protection locked="0"/>
    </xf>
    <xf numFmtId="4" fontId="0" fillId="9" borderId="4" xfId="0" applyNumberFormat="1" applyFill="1" applyBorder="1"/>
    <xf numFmtId="10" fontId="0" fillId="9" borderId="4" xfId="1" applyNumberFormat="1" applyFont="1" applyFill="1" applyBorder="1"/>
    <xf numFmtId="4" fontId="0" fillId="9" borderId="4" xfId="0" applyNumberFormat="1" applyFill="1" applyBorder="1" applyProtection="1">
      <protection locked="0"/>
    </xf>
    <xf numFmtId="0" fontId="25" fillId="0" borderId="0" xfId="0" applyFont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0" fillId="8" borderId="7" xfId="0" applyFont="1" applyFill="1" applyBorder="1" applyAlignment="1" applyProtection="1">
      <alignment horizontal="center"/>
      <protection locked="0"/>
    </xf>
    <xf numFmtId="0" fontId="20" fillId="8" borderId="10" xfId="0" applyFont="1" applyFill="1" applyBorder="1" applyAlignment="1" applyProtection="1">
      <alignment horizontal="center"/>
      <protection locked="0"/>
    </xf>
    <xf numFmtId="0" fontId="20" fillId="8" borderId="8" xfId="0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21" fillId="8" borderId="1" xfId="0" applyFont="1" applyFill="1" applyBorder="1" applyAlignment="1" applyProtection="1">
      <alignment horizontal="center"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Процентный" xfId="1" builtinId="5"/>
    <cellStyle name="Финансовый" xfId="2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A50021"/>
      </font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FF99"/>
      <color rgb="FFFFCCCC"/>
      <color rgb="FFA50021"/>
      <color rgb="FFCC0000"/>
      <color rgb="FFFF5050"/>
      <color rgb="FFFF9999"/>
      <color rgb="FFFF6D6D"/>
      <color rgb="FFFDFA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tsbank.ru/ofisi-i-bankomati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8"/>
  <dimension ref="B1:K18"/>
  <sheetViews>
    <sheetView zoomScale="85" zoomScaleNormal="85" workbookViewId="0">
      <selection activeCell="E60" sqref="E60"/>
    </sheetView>
  </sheetViews>
  <sheetFormatPr defaultRowHeight="15"/>
  <cols>
    <col min="2" max="2" width="36.140625" customWidth="1"/>
    <col min="3" max="3" width="13.42578125" bestFit="1" customWidth="1"/>
    <col min="6" max="6" width="34.7109375" bestFit="1" customWidth="1"/>
    <col min="7" max="7" width="13.42578125" bestFit="1" customWidth="1"/>
    <col min="10" max="10" width="34.7109375" bestFit="1" customWidth="1"/>
    <col min="11" max="11" width="13.42578125" bestFit="1" customWidth="1"/>
  </cols>
  <sheetData>
    <row r="1" spans="2:11" ht="15.75" thickBot="1"/>
    <row r="2" spans="2:11" ht="15.75" thickBot="1">
      <c r="B2" s="134" t="s">
        <v>0</v>
      </c>
      <c r="C2" s="135"/>
      <c r="F2" s="134" t="s">
        <v>1</v>
      </c>
      <c r="G2" s="135"/>
      <c r="J2" s="134" t="s">
        <v>2</v>
      </c>
      <c r="K2" s="135"/>
    </row>
    <row r="3" spans="2:11" ht="15.75" thickBot="1"/>
    <row r="4" spans="2:11">
      <c r="B4" s="106" t="s">
        <v>3</v>
      </c>
      <c r="C4" s="41">
        <v>16000000</v>
      </c>
      <c r="F4" s="106" t="s">
        <v>3</v>
      </c>
      <c r="G4" s="81">
        <f>C4</f>
        <v>16000000</v>
      </c>
      <c r="J4" s="106" t="s">
        <v>3</v>
      </c>
      <c r="K4" s="81">
        <f>C4</f>
        <v>16000000</v>
      </c>
    </row>
    <row r="5" spans="2:11">
      <c r="B5" s="107" t="s">
        <v>4</v>
      </c>
      <c r="C5" s="42">
        <v>5.7000000000000002E-2</v>
      </c>
      <c r="F5" s="107" t="s">
        <v>4</v>
      </c>
      <c r="G5" s="105">
        <f>C5+G8</f>
        <v>6.7000000000000004E-2</v>
      </c>
      <c r="J5" s="107" t="s">
        <v>4</v>
      </c>
      <c r="K5" s="42">
        <v>0.06</v>
      </c>
    </row>
    <row r="6" spans="2:11" ht="15.75" thickBot="1">
      <c r="B6" s="108" t="s">
        <v>5</v>
      </c>
      <c r="C6" s="38">
        <v>120</v>
      </c>
      <c r="F6" s="108" t="s">
        <v>5</v>
      </c>
      <c r="G6" s="104">
        <f>C6</f>
        <v>120</v>
      </c>
      <c r="J6" s="108" t="s">
        <v>5</v>
      </c>
      <c r="K6" s="104">
        <f>C6</f>
        <v>120</v>
      </c>
    </row>
    <row r="7" spans="2:11" ht="15.75" thickBot="1">
      <c r="B7" s="102"/>
      <c r="F7" s="102"/>
      <c r="J7" s="102"/>
      <c r="K7" s="102"/>
    </row>
    <row r="8" spans="2:11" ht="15.75" thickBot="1">
      <c r="B8" s="102"/>
      <c r="F8" s="39" t="s">
        <v>6</v>
      </c>
      <c r="G8" s="103">
        <v>0.01</v>
      </c>
      <c r="J8" s="102"/>
      <c r="K8" s="102"/>
    </row>
    <row r="9" spans="2:11" ht="15.75" thickBot="1"/>
    <row r="10" spans="2:11" ht="15.75" thickBot="1">
      <c r="B10" s="109" t="s">
        <v>7</v>
      </c>
      <c r="C10" s="110">
        <f>-PMT(C5/12,C6,C4,,)</f>
        <v>175231.94180467448</v>
      </c>
      <c r="F10" s="109" t="s">
        <v>7</v>
      </c>
      <c r="G10" s="110">
        <f>-PMT(G5/12,G6,G4,,)</f>
        <v>183309.16459458054</v>
      </c>
      <c r="J10" s="39" t="s">
        <v>7</v>
      </c>
      <c r="K10" s="110">
        <f>-PMT(K5/12,K6,K4,,)</f>
        <v>177632.8031066391</v>
      </c>
    </row>
    <row r="11" spans="2:11" ht="15.75" thickBot="1">
      <c r="B11" s="109" t="s">
        <v>8</v>
      </c>
      <c r="C11" s="110">
        <f>C4*(C5/12*(1+C5/12)^(C6))/((1+C5/12)^(C6)-1)</f>
        <v>175231.94180467195</v>
      </c>
      <c r="F11" s="109" t="s">
        <v>8</v>
      </c>
      <c r="G11" s="110">
        <f>G4*(G5/12*(1+G5/12)^(G6))/((1+G5/12)^(G6)-1)</f>
        <v>183309.16459458155</v>
      </c>
      <c r="J11" s="39" t="s">
        <v>8</v>
      </c>
      <c r="K11" s="110">
        <f>K4*(K5/12*(1+K5/12)^(K6))/((1+K5/12)^(K6)-1)</f>
        <v>177632.80310664308</v>
      </c>
    </row>
    <row r="13" spans="2:11" ht="15.75" thickBot="1"/>
    <row r="14" spans="2:11" ht="15.75" thickBot="1">
      <c r="B14" s="39" t="s">
        <v>9</v>
      </c>
      <c r="C14" s="40">
        <f>C10*C6-C4</f>
        <v>5027833.0165609382</v>
      </c>
      <c r="F14" s="39" t="s">
        <v>9</v>
      </c>
      <c r="G14" s="40">
        <f>G10*G6-G4</f>
        <v>5997099.7513496652</v>
      </c>
      <c r="J14" s="39" t="s">
        <v>9</v>
      </c>
      <c r="K14" s="40">
        <f>K10*K6-K4</f>
        <v>5315936.372796692</v>
      </c>
    </row>
    <row r="16" spans="2:11" ht="15.75" thickBot="1"/>
    <row r="17" spans="2:7" ht="15.75" thickBot="1">
      <c r="B17" s="39" t="s">
        <v>10</v>
      </c>
      <c r="C17" s="40">
        <f>G14-C14</f>
        <v>969266.73478872702</v>
      </c>
      <c r="F17" s="39" t="s">
        <v>11</v>
      </c>
      <c r="G17" s="40">
        <f>K14-G14</f>
        <v>-681163.37855297327</v>
      </c>
    </row>
    <row r="18" spans="2:7" ht="15.75" thickBot="1">
      <c r="B18" s="39" t="s">
        <v>11</v>
      </c>
      <c r="C18" s="40">
        <f>K14-C14</f>
        <v>288103.35623575374</v>
      </c>
    </row>
  </sheetData>
  <mergeCells count="3">
    <mergeCell ref="B2:C2"/>
    <mergeCell ref="F2:G2"/>
    <mergeCell ref="J2:K2"/>
  </mergeCells>
  <conditionalFormatting sqref="C14 C17:C18 G14 K14 G17">
    <cfRule type="cellIs" dxfId="19" priority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0"/>
  <dimension ref="B3:G369"/>
  <sheetViews>
    <sheetView zoomScale="70" zoomScaleNormal="70" workbookViewId="0">
      <selection activeCell="E60" sqref="E60"/>
    </sheetView>
  </sheetViews>
  <sheetFormatPr defaultRowHeight="15"/>
  <cols>
    <col min="2" max="2" width="18" style="9" bestFit="1" customWidth="1"/>
    <col min="3" max="3" width="13.42578125" style="9" bestFit="1" customWidth="1"/>
    <col min="4" max="5" width="17.5703125" style="9" bestFit="1" customWidth="1"/>
    <col min="6" max="6" width="21.85546875" style="9" bestFit="1" customWidth="1"/>
    <col min="7" max="7" width="30.7109375" style="9" bestFit="1" customWidth="1"/>
  </cols>
  <sheetData>
    <row r="3" spans="2:7" ht="15.75" thickBot="1"/>
    <row r="4" spans="2:7" ht="15.75" thickBot="1">
      <c r="B4" s="53" t="s">
        <v>12</v>
      </c>
      <c r="C4" s="53" t="s">
        <v>13</v>
      </c>
      <c r="D4" s="43"/>
      <c r="E4" s="43"/>
      <c r="F4" s="43"/>
      <c r="G4" s="53" t="s">
        <v>9</v>
      </c>
    </row>
    <row r="5" spans="2:7" ht="15.75" thickBot="1">
      <c r="B5" s="44">
        <f>'Ипотечный калькулятор'!C8</f>
        <v>7000000</v>
      </c>
      <c r="C5" s="44">
        <f>'Ипотечный калькулятор'!C12</f>
        <v>240</v>
      </c>
      <c r="D5" s="43"/>
      <c r="E5" s="43"/>
      <c r="F5" s="43"/>
      <c r="G5" s="48">
        <f>-SUM(E7:INDEX(E:E,C5+5-1,))</f>
        <v>33722843.959067844</v>
      </c>
    </row>
    <row r="6" spans="2:7" ht="15.75" thickBot="1">
      <c r="B6" s="49" t="s">
        <v>14</v>
      </c>
      <c r="C6" s="50" t="s">
        <v>15</v>
      </c>
      <c r="D6" s="50" t="s">
        <v>16</v>
      </c>
      <c r="E6" s="50" t="s">
        <v>17</v>
      </c>
      <c r="F6" s="50" t="s">
        <v>18</v>
      </c>
      <c r="G6" s="51" t="s">
        <v>19</v>
      </c>
    </row>
    <row r="7" spans="2:7">
      <c r="B7" s="45">
        <f>'Ипотечный калькулятор'!$C$21</f>
        <v>0.29000000000000004</v>
      </c>
      <c r="C7" s="46">
        <v>1</v>
      </c>
      <c r="D7" s="48">
        <v>0</v>
      </c>
      <c r="E7" s="48">
        <f>-$B$5*$B$7/12</f>
        <v>-169166.66666666669</v>
      </c>
      <c r="F7" s="48">
        <f t="shared" ref="F7:F70" si="0">SUM(D7:E7)</f>
        <v>-169166.66666666669</v>
      </c>
      <c r="G7" s="48">
        <f>($B$5+SUM(D7:$D$7))</f>
        <v>7000000</v>
      </c>
    </row>
    <row r="8" spans="2:7">
      <c r="B8" s="45">
        <f>'Ипотечный калькулятор'!$C$21</f>
        <v>0.29000000000000004</v>
      </c>
      <c r="C8" s="47">
        <v>2</v>
      </c>
      <c r="D8" s="48">
        <f>PPMT($B8/12,1,$C$5-C8+1,$B$5+SUM($D7:D$7),0)</f>
        <v>-563.86842482148404</v>
      </c>
      <c r="E8" s="48">
        <f>-($B$5+SUM($D$7:$D7))*$B8/12</f>
        <v>-169166.66666666669</v>
      </c>
      <c r="F8" s="48">
        <f t="shared" si="0"/>
        <v>-169730.53509148816</v>
      </c>
      <c r="G8" s="48">
        <f>($B$5+SUM($D$7:$D8))</f>
        <v>6999436.1315751784</v>
      </c>
    </row>
    <row r="9" spans="2:7">
      <c r="B9" s="45">
        <f>'Ипотечный калькулятор'!$C$21</f>
        <v>0.29000000000000004</v>
      </c>
      <c r="C9" s="46">
        <v>3</v>
      </c>
      <c r="D9" s="48">
        <f>PPMT($B9/12,1,$C$5-C9+1,$B$5+SUM($D$7:D8),0)</f>
        <v>-577.49524508800346</v>
      </c>
      <c r="E9" s="48">
        <f>-($B$5+SUM($D$7:$D8))*$B9/12</f>
        <v>-169153.03984640018</v>
      </c>
      <c r="F9" s="48">
        <f t="shared" si="0"/>
        <v>-169730.53509148819</v>
      </c>
      <c r="G9" s="48">
        <f>($B$5+SUM($D$7:$D9))</f>
        <v>6998858.6363300905</v>
      </c>
    </row>
    <row r="10" spans="2:7">
      <c r="B10" s="45">
        <f>'Ипотечный калькулятор'!$C$21</f>
        <v>0.29000000000000004</v>
      </c>
      <c r="C10" s="47">
        <v>4</v>
      </c>
      <c r="D10" s="48">
        <f>PPMT($B10/12,1,$C$5-C10+1,$B$5+SUM($D$7:D9),0)</f>
        <v>-591.45138017763043</v>
      </c>
      <c r="E10" s="48">
        <f>-($B$5+SUM($D$7:$D9))*$B10/12</f>
        <v>-169139.08371131055</v>
      </c>
      <c r="F10" s="48">
        <f t="shared" si="0"/>
        <v>-169730.53509148819</v>
      </c>
      <c r="G10" s="48">
        <f>($B$5+SUM($D$7:$D10))</f>
        <v>6998267.1849499131</v>
      </c>
    </row>
    <row r="11" spans="2:7">
      <c r="B11" s="45">
        <f>'Ипотечный калькулятор'!$C$21</f>
        <v>0.29000000000000004</v>
      </c>
      <c r="C11" s="46">
        <v>5</v>
      </c>
      <c r="D11" s="48">
        <f>PPMT($B11/12,1,$C$5-C11+1,$B$5+SUM($D$7:D10),0)</f>
        <v>-605.74478853192295</v>
      </c>
      <c r="E11" s="48">
        <f>-($B$5+SUM($D$7:$D10))*$B11/12</f>
        <v>-169124.79030295624</v>
      </c>
      <c r="F11" s="48">
        <f t="shared" si="0"/>
        <v>-169730.53509148816</v>
      </c>
      <c r="G11" s="48">
        <f>($B$5+SUM($D$7:$D11))</f>
        <v>6997661.4401613809</v>
      </c>
    </row>
    <row r="12" spans="2:7">
      <c r="B12" s="45">
        <f>'Ипотечный калькулятор'!$C$21</f>
        <v>0.29000000000000004</v>
      </c>
      <c r="C12" s="47">
        <v>6</v>
      </c>
      <c r="D12" s="48">
        <f>PPMT($B12/12,1,$C$5-C12+1,$B$5+SUM($D$7:D11),0)</f>
        <v>-620.38362092144416</v>
      </c>
      <c r="E12" s="48">
        <f>-($B$5+SUM($D$7:$D11))*$B12/12</f>
        <v>-169110.15147056672</v>
      </c>
      <c r="F12" s="48">
        <f t="shared" si="0"/>
        <v>-169730.53509148816</v>
      </c>
      <c r="G12" s="48">
        <f>($B$5+SUM($D$7:$D12))</f>
        <v>6997041.0565404594</v>
      </c>
    </row>
    <row r="13" spans="2:7">
      <c r="B13" s="45">
        <f>'Ипотечный калькулятор'!$C$21</f>
        <v>0.29000000000000004</v>
      </c>
      <c r="C13" s="46">
        <v>7</v>
      </c>
      <c r="D13" s="48">
        <f>PPMT($B13/12,1,$C$5-C13+1,$B$5+SUM($D$7:D12),0)</f>
        <v>-635.37622509371261</v>
      </c>
      <c r="E13" s="48">
        <f>-($B$5+SUM($D$7:$D12))*$B13/12</f>
        <v>-169095.15886639446</v>
      </c>
      <c r="F13" s="48">
        <f t="shared" si="0"/>
        <v>-169730.53509148816</v>
      </c>
      <c r="G13" s="48">
        <f>($B$5+SUM($D$7:$D13))</f>
        <v>6996405.680315366</v>
      </c>
    </row>
    <row r="14" spans="2:7">
      <c r="B14" s="45">
        <f>'Ипотечный калькулятор'!$C$21</f>
        <v>0.29000000000000004</v>
      </c>
      <c r="C14" s="47">
        <v>8</v>
      </c>
      <c r="D14" s="48">
        <f>PPMT($B14/12,1,$C$5-C14+1,$B$5+SUM($D$7:D13),0)</f>
        <v>-650.7311505334776</v>
      </c>
      <c r="E14" s="48">
        <f>-($B$5+SUM($D$7:$D13))*$B14/12</f>
        <v>-169079.80394095471</v>
      </c>
      <c r="F14" s="48">
        <f t="shared" si="0"/>
        <v>-169730.53509148819</v>
      </c>
      <c r="G14" s="48">
        <f>($B$5+SUM($D$7:$D14))</f>
        <v>6995754.949164832</v>
      </c>
    </row>
    <row r="15" spans="2:7">
      <c r="B15" s="45">
        <f>'Ипотечный калькулятор'!$C$21</f>
        <v>0.29000000000000004</v>
      </c>
      <c r="C15" s="46">
        <v>9</v>
      </c>
      <c r="D15" s="48">
        <f>PPMT($B15/12,1,$C$5-C15+1,$B$5+SUM($D$7:D14),0)</f>
        <v>-666.45715333803639</v>
      </c>
      <c r="E15" s="48">
        <f>-($B$5+SUM($D$7:$D14))*$B15/12</f>
        <v>-169064.07793815012</v>
      </c>
      <c r="F15" s="48">
        <f t="shared" si="0"/>
        <v>-169730.53509148816</v>
      </c>
      <c r="G15" s="48">
        <f>($B$5+SUM($D$7:$D15))</f>
        <v>6995088.492011494</v>
      </c>
    </row>
    <row r="16" spans="2:7">
      <c r="B16" s="45">
        <f>'Ипотечный калькулятор'!$C$21</f>
        <v>0.29000000000000004</v>
      </c>
      <c r="C16" s="47">
        <v>10</v>
      </c>
      <c r="D16" s="48">
        <f>PPMT($B16/12,1,$C$5-C16+1,$B$5+SUM($D$7:D15),0)</f>
        <v>-682.56320121037197</v>
      </c>
      <c r="E16" s="48">
        <f>-($B$5+SUM($D$7:$D15))*$B16/12</f>
        <v>-169047.97189027778</v>
      </c>
      <c r="F16" s="48">
        <f t="shared" si="0"/>
        <v>-169730.53509148816</v>
      </c>
      <c r="G16" s="48">
        <f>($B$5+SUM($D$7:$D16))</f>
        <v>6994405.9288102835</v>
      </c>
    </row>
    <row r="17" spans="2:7">
      <c r="B17" s="45">
        <f>'Ипотечный калькулятор'!$C$21</f>
        <v>0.29000000000000004</v>
      </c>
      <c r="C17" s="46">
        <v>11</v>
      </c>
      <c r="D17" s="48">
        <f>PPMT($B17/12,1,$C$5-C17+1,$B$5+SUM($D$7:D16),0)</f>
        <v>-699.05847857295623</v>
      </c>
      <c r="E17" s="48">
        <f>-($B$5+SUM($D$7:$D16))*$B17/12</f>
        <v>-169031.4766129152</v>
      </c>
      <c r="F17" s="48">
        <f t="shared" si="0"/>
        <v>-169730.53509148816</v>
      </c>
      <c r="G17" s="48">
        <f>($B$5+SUM($D$7:$D17))</f>
        <v>6993706.8703317111</v>
      </c>
    </row>
    <row r="18" spans="2:7">
      <c r="B18" s="45">
        <f>'Ипотечный калькулятор'!$C$21</f>
        <v>0.29000000000000004</v>
      </c>
      <c r="C18" s="47">
        <v>12</v>
      </c>
      <c r="D18" s="48">
        <f>PPMT($B18/12,1,$C$5-C18+1,$B$5+SUM($D$7:D17),0)</f>
        <v>-715.95239180513636</v>
      </c>
      <c r="E18" s="48">
        <f>-($B$5+SUM($D$7:$D17))*$B18/12</f>
        <v>-169014.58269968306</v>
      </c>
      <c r="F18" s="48">
        <f t="shared" si="0"/>
        <v>-169730.53509148819</v>
      </c>
      <c r="G18" s="48">
        <f>($B$5+SUM($D$7:$D18))</f>
        <v>6992990.917939906</v>
      </c>
    </row>
    <row r="19" spans="2:7">
      <c r="B19" s="45">
        <f>'Ипотечный калькулятор'!$C$21</f>
        <v>0.29000000000000004</v>
      </c>
      <c r="C19" s="46">
        <v>13</v>
      </c>
      <c r="D19" s="48">
        <f>PPMT($B19/12,1,$C$5-C19+1,$B$5+SUM($D$7:D18),0)</f>
        <v>-733.25457460709345</v>
      </c>
      <c r="E19" s="48">
        <f>-($B$5+SUM($D$7:$D18))*$B19/12</f>
        <v>-168997.28051688109</v>
      </c>
      <c r="F19" s="48">
        <f t="shared" si="0"/>
        <v>-169730.53509148819</v>
      </c>
      <c r="G19" s="48">
        <f>($B$5+SUM($D$7:$D19))</f>
        <v>6992257.6633652989</v>
      </c>
    </row>
    <row r="20" spans="2:7">
      <c r="B20" s="45">
        <f>'Ипотечный калькулятор'!$C$21</f>
        <v>0.29000000000000004</v>
      </c>
      <c r="C20" s="47">
        <v>14</v>
      </c>
      <c r="D20" s="48">
        <f>PPMT($B20/12,1,$C$5-C20+1,$B$5+SUM($D$7:D19),0)</f>
        <v>-750.97489349343118</v>
      </c>
      <c r="E20" s="48">
        <f>-($B$5+SUM($D$7:$D19))*$B20/12</f>
        <v>-168979.56019799475</v>
      </c>
      <c r="F20" s="48">
        <f t="shared" si="0"/>
        <v>-169730.53509148819</v>
      </c>
      <c r="G20" s="48">
        <f>($B$5+SUM($D$7:$D20))</f>
        <v>6991506.6884718053</v>
      </c>
    </row>
    <row r="21" spans="2:7">
      <c r="B21" s="45">
        <f>'Ипотечный калькулятор'!$C$21</f>
        <v>0.29000000000000004</v>
      </c>
      <c r="C21" s="46">
        <v>15</v>
      </c>
      <c r="D21" s="48">
        <f>PPMT($B21/12,1,$C$5-C21+1,$B$5+SUM($D$7:D20),0)</f>
        <v>-769.12345341952289</v>
      </c>
      <c r="E21" s="48">
        <f>-($B$5+SUM($D$7:$D20))*$B21/12</f>
        <v>-168961.41163806865</v>
      </c>
      <c r="F21" s="48">
        <f t="shared" si="0"/>
        <v>-169730.53509148816</v>
      </c>
      <c r="G21" s="48">
        <f>($B$5+SUM($D$7:$D21))</f>
        <v>6990737.5650183856</v>
      </c>
    </row>
    <row r="22" spans="2:7">
      <c r="B22" s="45">
        <f>'Ипотечный калькулятор'!$C$21</f>
        <v>0.29000000000000004</v>
      </c>
      <c r="C22" s="47">
        <v>16</v>
      </c>
      <c r="D22" s="48">
        <f>PPMT($B22/12,1,$C$5-C22+1,$B$5+SUM($D$7:D21),0)</f>
        <v>-787.71060354382837</v>
      </c>
      <c r="E22" s="48">
        <f>-($B$5+SUM($D$7:$D21))*$B22/12</f>
        <v>-168942.82448794434</v>
      </c>
      <c r="F22" s="48">
        <f t="shared" si="0"/>
        <v>-169730.53509148816</v>
      </c>
      <c r="G22" s="48">
        <f>($B$5+SUM($D$7:$D22))</f>
        <v>6989949.8544148421</v>
      </c>
    </row>
    <row r="23" spans="2:7">
      <c r="B23" s="45">
        <f>'Ипотечный калькулятор'!$C$21</f>
        <v>0.29000000000000004</v>
      </c>
      <c r="C23" s="46">
        <v>17</v>
      </c>
      <c r="D23" s="48">
        <f>PPMT($B23/12,1,$C$5-C23+1,$B$5+SUM($D$7:D22),0)</f>
        <v>-806.74694312947042</v>
      </c>
      <c r="E23" s="48">
        <f>-($B$5+SUM($D$7:$D22))*$B23/12</f>
        <v>-168923.7881483587</v>
      </c>
      <c r="F23" s="48">
        <f t="shared" si="0"/>
        <v>-169730.53509148816</v>
      </c>
      <c r="G23" s="48">
        <f>($B$5+SUM($D$7:$D23))</f>
        <v>6989143.1074717129</v>
      </c>
    </row>
    <row r="24" spans="2:7">
      <c r="B24" s="45">
        <f>'Ипотечный калькулятор'!$C$21</f>
        <v>0.29000000000000004</v>
      </c>
      <c r="C24" s="47">
        <v>18</v>
      </c>
      <c r="D24" s="48">
        <f>PPMT($B24/12,1,$C$5-C24+1,$B$5+SUM($D$7:D23),0)</f>
        <v>-826.24332758843252</v>
      </c>
      <c r="E24" s="48">
        <f>-($B$5+SUM($D$7:$D23))*$B24/12</f>
        <v>-168904.29176389976</v>
      </c>
      <c r="F24" s="48">
        <f t="shared" si="0"/>
        <v>-169730.53509148819</v>
      </c>
      <c r="G24" s="48">
        <f>($B$5+SUM($D$7:$D24))</f>
        <v>6988316.8641441241</v>
      </c>
    </row>
    <row r="25" spans="2:7">
      <c r="B25" s="45">
        <f>'Ипотечный калькулятор'!$C$21</f>
        <v>0.29000000000000004</v>
      </c>
      <c r="C25" s="46">
        <v>19</v>
      </c>
      <c r="D25" s="48">
        <f>PPMT($B25/12,1,$C$5-C25+1,$B$5+SUM($D$7:D24),0)</f>
        <v>-846.21087467181985</v>
      </c>
      <c r="E25" s="48">
        <f>-($B$5+SUM($D$7:$D24))*$B25/12</f>
        <v>-168884.32421681637</v>
      </c>
      <c r="F25" s="48">
        <f t="shared" si="0"/>
        <v>-169730.53509148819</v>
      </c>
      <c r="G25" s="48">
        <f>($B$5+SUM($D$7:$D25))</f>
        <v>6987470.653269452</v>
      </c>
    </row>
    <row r="26" spans="2:7">
      <c r="B26" s="45">
        <f>'Ипотечный калькулятор'!$C$21</f>
        <v>0.29000000000000004</v>
      </c>
      <c r="C26" s="47">
        <v>20</v>
      </c>
      <c r="D26" s="48">
        <f>PPMT($B26/12,1,$C$5-C26+1,$B$5+SUM($D$7:D25),0)</f>
        <v>-866.66097080972258</v>
      </c>
      <c r="E26" s="48">
        <f>-($B$5+SUM($D$7:$D25))*$B26/12</f>
        <v>-168863.87412067843</v>
      </c>
      <c r="F26" s="48">
        <f t="shared" si="0"/>
        <v>-169730.53509148816</v>
      </c>
      <c r="G26" s="48">
        <f>($B$5+SUM($D$7:$D26))</f>
        <v>6986603.9922986422</v>
      </c>
    </row>
    <row r="27" spans="2:7">
      <c r="B27" s="45">
        <f>'Ипотечный калькулятор'!$C$21</f>
        <v>0.29000000000000004</v>
      </c>
      <c r="C27" s="46">
        <v>21</v>
      </c>
      <c r="D27" s="48">
        <f>PPMT($B27/12,1,$C$5-C27+1,$B$5+SUM($D$7:D26),0)</f>
        <v>-887.60527760429056</v>
      </c>
      <c r="E27" s="48">
        <f>-($B$5+SUM($D$7:$D26))*$B27/12</f>
        <v>-168842.92981388388</v>
      </c>
      <c r="F27" s="48">
        <f t="shared" si="0"/>
        <v>-169730.53509148816</v>
      </c>
      <c r="G27" s="48">
        <f>($B$5+SUM($D$7:$D27))</f>
        <v>6985716.3870210377</v>
      </c>
    </row>
    <row r="28" spans="2:7">
      <c r="B28" s="45">
        <f>'Ипотечный калькулятор'!$C$21</f>
        <v>0.29000000000000004</v>
      </c>
      <c r="C28" s="47">
        <v>22</v>
      </c>
      <c r="D28" s="48">
        <f>PPMT($B28/12,1,$C$5-C28+1,$B$5+SUM($D$7:D27),0)</f>
        <v>-909.0557384797271</v>
      </c>
      <c r="E28" s="48">
        <f>-($B$5+SUM($D$7:$D27))*$B28/12</f>
        <v>-168821.47935300844</v>
      </c>
      <c r="F28" s="48">
        <f t="shared" si="0"/>
        <v>-169730.53509148816</v>
      </c>
      <c r="G28" s="48">
        <f>($B$5+SUM($D$7:$D28))</f>
        <v>6984807.3312825589</v>
      </c>
    </row>
    <row r="29" spans="2:7">
      <c r="B29" s="45">
        <f>'Ипотечный калькулятор'!$C$21</f>
        <v>0.29000000000000004</v>
      </c>
      <c r="C29" s="46">
        <v>23</v>
      </c>
      <c r="D29" s="48">
        <f>PPMT($B29/12,1,$C$5-C29+1,$B$5+SUM($D$7:D28),0)</f>
        <v>-931.02458549298751</v>
      </c>
      <c r="E29" s="48">
        <f>-($B$5+SUM($D$7:$D28))*$B29/12</f>
        <v>-168799.51050599519</v>
      </c>
      <c r="F29" s="48">
        <f t="shared" si="0"/>
        <v>-169730.53509148819</v>
      </c>
      <c r="G29" s="48">
        <f>($B$5+SUM($D$7:$D29))</f>
        <v>6983876.3066970659</v>
      </c>
    </row>
    <row r="30" spans="2:7">
      <c r="B30" s="45">
        <f>'Ипотечный калькулятор'!$C$21</f>
        <v>0.29000000000000004</v>
      </c>
      <c r="C30" s="47">
        <v>24</v>
      </c>
      <c r="D30" s="48">
        <f>PPMT($B30/12,1,$C$5-C30+1,$B$5+SUM($D$7:D29),0)</f>
        <v>-953.52434630906839</v>
      </c>
      <c r="E30" s="48">
        <f>-($B$5+SUM($D$7:$D29))*$B30/12</f>
        <v>-168777.01074517911</v>
      </c>
      <c r="F30" s="48">
        <f t="shared" si="0"/>
        <v>-169730.53509148819</v>
      </c>
      <c r="G30" s="48">
        <f>($B$5+SUM($D$7:$D30))</f>
        <v>6982922.7823507562</v>
      </c>
    </row>
    <row r="31" spans="2:7">
      <c r="B31" s="45">
        <f>'Ипотечный калькулятор'!$C$21</f>
        <v>0.29000000000000004</v>
      </c>
      <c r="C31" s="46">
        <v>25</v>
      </c>
      <c r="D31" s="48">
        <f>PPMT($B31/12,1,$C$5-C31+1,$B$5+SUM($D$7:D30),0)</f>
        <v>-976.56785134487052</v>
      </c>
      <c r="E31" s="48">
        <f>-($B$5+SUM($D$7:$D30))*$B31/12</f>
        <v>-168753.96724014331</v>
      </c>
      <c r="F31" s="48">
        <f t="shared" si="0"/>
        <v>-169730.53509148819</v>
      </c>
      <c r="G31" s="48">
        <f>($B$5+SUM($D$7:$D31))</f>
        <v>6981946.2144994112</v>
      </c>
    </row>
    <row r="32" spans="2:7">
      <c r="B32" s="45">
        <f>'Ипотечный калькулятор'!$C$21</f>
        <v>0.29000000000000004</v>
      </c>
      <c r="C32" s="47">
        <v>26</v>
      </c>
      <c r="D32" s="48">
        <f>PPMT($B32/12,1,$C$5-C32+1,$B$5+SUM($D$7:D31),0)</f>
        <v>-1000.1682410857043</v>
      </c>
      <c r="E32" s="48">
        <f>-($B$5+SUM($D$7:$D31))*$B32/12</f>
        <v>-168730.36685040247</v>
      </c>
      <c r="F32" s="48">
        <f t="shared" si="0"/>
        <v>-169730.53509148819</v>
      </c>
      <c r="G32" s="48">
        <f>($B$5+SUM($D$7:$D32))</f>
        <v>6980946.0462583257</v>
      </c>
    </row>
    <row r="33" spans="2:7">
      <c r="B33" s="45">
        <f>'Ипотечный калькулятор'!$C$21</f>
        <v>0.29000000000000004</v>
      </c>
      <c r="C33" s="46">
        <v>27</v>
      </c>
      <c r="D33" s="48">
        <f>PPMT($B33/12,1,$C$5-C33+1,$B$5+SUM($D$7:D32),0)</f>
        <v>-1024.3389735786095</v>
      </c>
      <c r="E33" s="48">
        <f>-($B$5+SUM($D$7:$D32))*$B33/12</f>
        <v>-168706.19611790957</v>
      </c>
      <c r="F33" s="48">
        <f t="shared" si="0"/>
        <v>-169730.53509148819</v>
      </c>
      <c r="G33" s="48">
        <f>($B$5+SUM($D$7:$D33))</f>
        <v>6979921.7072847476</v>
      </c>
    </row>
    <row r="34" spans="2:7">
      <c r="B34" s="45">
        <f>'Ипотечный калькулятор'!$C$21</f>
        <v>0.29000000000000004</v>
      </c>
      <c r="C34" s="47">
        <v>28</v>
      </c>
      <c r="D34" s="48">
        <f>PPMT($B34/12,1,$C$5-C34+1,$B$5+SUM($D$7:D33),0)</f>
        <v>-1049.0938321067597</v>
      </c>
      <c r="E34" s="48">
        <f>-($B$5+SUM($D$7:$D33))*$B34/12</f>
        <v>-168681.44125938142</v>
      </c>
      <c r="F34" s="48">
        <f t="shared" si="0"/>
        <v>-169730.53509148819</v>
      </c>
      <c r="G34" s="48">
        <f>($B$5+SUM($D$7:$D34))</f>
        <v>6978872.6134526404</v>
      </c>
    </row>
    <row r="35" spans="2:7">
      <c r="B35" s="45">
        <f>'Ипотечный калькулятор'!$C$21</f>
        <v>0.29000000000000004</v>
      </c>
      <c r="C35" s="46">
        <v>29</v>
      </c>
      <c r="D35" s="48">
        <f>PPMT($B35/12,1,$C$5-C35+1,$B$5+SUM($D$7:D34),0)</f>
        <v>-1074.4469330493393</v>
      </c>
      <c r="E35" s="48">
        <f>-($B$5+SUM($D$7:$D34))*$B35/12</f>
        <v>-168656.08815843883</v>
      </c>
      <c r="F35" s="48">
        <f t="shared" si="0"/>
        <v>-169730.53509148816</v>
      </c>
      <c r="G35" s="48">
        <f>($B$5+SUM($D$7:$D35))</f>
        <v>6977798.1665195916</v>
      </c>
    </row>
    <row r="36" spans="2:7">
      <c r="B36" s="45">
        <f>'Ипотечный калькулятор'!$C$21</f>
        <v>0.29000000000000004</v>
      </c>
      <c r="C36" s="47">
        <v>30</v>
      </c>
      <c r="D36" s="48">
        <f>PPMT($B36/12,1,$C$5-C36+1,$B$5+SUM($D$7:D35),0)</f>
        <v>-1100.4127339313643</v>
      </c>
      <c r="E36" s="48">
        <f>-($B$5+SUM($D$7:$D35))*$B36/12</f>
        <v>-168630.1223575568</v>
      </c>
      <c r="F36" s="48">
        <f t="shared" si="0"/>
        <v>-169730.53509148816</v>
      </c>
      <c r="G36" s="48">
        <f>($B$5+SUM($D$7:$D36))</f>
        <v>6976697.7537856596</v>
      </c>
    </row>
    <row r="37" spans="2:7">
      <c r="B37" s="45">
        <f>'Ипотечный калькулятор'!$C$21</f>
        <v>0.29000000000000004</v>
      </c>
      <c r="C37" s="46">
        <v>31</v>
      </c>
      <c r="D37" s="48">
        <f>PPMT($B37/12,1,$C$5-C37+1,$B$5+SUM($D$7:D36),0)</f>
        <v>-1127.0060416680394</v>
      </c>
      <c r="E37" s="48">
        <f>-($B$5+SUM($D$7:$D36))*$B37/12</f>
        <v>-168603.52904982012</v>
      </c>
      <c r="F37" s="48">
        <f t="shared" si="0"/>
        <v>-169730.53509148816</v>
      </c>
      <c r="G37" s="48">
        <f>($B$5+SUM($D$7:$D37))</f>
        <v>6975570.7477439921</v>
      </c>
    </row>
    <row r="38" spans="2:7">
      <c r="B38" s="45">
        <f>'Ипотечный калькулятор'!$C$21</f>
        <v>0.29000000000000004</v>
      </c>
      <c r="C38" s="47">
        <v>32</v>
      </c>
      <c r="D38" s="48">
        <f>PPMT($B38/12,1,$C$5-C38+1,$B$5+SUM($D$7:D37),0)</f>
        <v>-1154.2420210083512</v>
      </c>
      <c r="E38" s="48">
        <f>-($B$5+SUM($D$7:$D37))*$B38/12</f>
        <v>-168576.29307047985</v>
      </c>
      <c r="F38" s="48">
        <f t="shared" si="0"/>
        <v>-169730.53509148821</v>
      </c>
      <c r="G38" s="48">
        <f>($B$5+SUM($D$7:$D38))</f>
        <v>6974416.5057229837</v>
      </c>
    </row>
    <row r="39" spans="2:7">
      <c r="B39" s="45">
        <f>'Ипотечный калькулятор'!$C$21</f>
        <v>0.29000000000000004</v>
      </c>
      <c r="C39" s="46">
        <v>33</v>
      </c>
      <c r="D39" s="48">
        <f>PPMT($B39/12,1,$C$5-C39+1,$B$5+SUM($D$7:D38),0)</f>
        <v>-1182.1362031827191</v>
      </c>
      <c r="E39" s="48">
        <f>-($B$5+SUM($D$7:$D38))*$B39/12</f>
        <v>-168548.39888830547</v>
      </c>
      <c r="F39" s="48">
        <f t="shared" si="0"/>
        <v>-169730.53509148819</v>
      </c>
      <c r="G39" s="48">
        <f>($B$5+SUM($D$7:$D39))</f>
        <v>6973234.3695198009</v>
      </c>
    </row>
    <row r="40" spans="2:7">
      <c r="B40" s="45">
        <f>'Ипотечный калькулятор'!$C$21</f>
        <v>0.29000000000000004</v>
      </c>
      <c r="C40" s="47">
        <v>34</v>
      </c>
      <c r="D40" s="48">
        <f>PPMT($B40/12,1,$C$5-C40+1,$B$5+SUM($D$7:D39),0)</f>
        <v>-1210.7044947596344</v>
      </c>
      <c r="E40" s="48">
        <f>-($B$5+SUM($D$7:$D39))*$B40/12</f>
        <v>-168519.83059672854</v>
      </c>
      <c r="F40" s="48">
        <f t="shared" si="0"/>
        <v>-169730.53509148819</v>
      </c>
      <c r="G40" s="48">
        <f>($B$5+SUM($D$7:$D40))</f>
        <v>6972023.6650250414</v>
      </c>
    </row>
    <row r="41" spans="2:7">
      <c r="B41" s="45">
        <f>'Ипотечный калькулятор'!$C$21</f>
        <v>0.29000000000000004</v>
      </c>
      <c r="C41" s="46">
        <v>35</v>
      </c>
      <c r="D41" s="48">
        <f>PPMT($B41/12,1,$C$5-C41+1,$B$5+SUM($D$7:D40),0)</f>
        <v>-1239.9631867163259</v>
      </c>
      <c r="E41" s="48">
        <f>-($B$5+SUM($D$7:$D40))*$B41/12</f>
        <v>-168490.57190477187</v>
      </c>
      <c r="F41" s="48">
        <f t="shared" si="0"/>
        <v>-169730.53509148819</v>
      </c>
      <c r="G41" s="48">
        <f>($B$5+SUM($D$7:$D41))</f>
        <v>6970783.7018383248</v>
      </c>
    </row>
    <row r="42" spans="2:7">
      <c r="B42" s="45">
        <f>'Ипотечный калькулятор'!$C$21</f>
        <v>0.29000000000000004</v>
      </c>
      <c r="C42" s="47">
        <v>36</v>
      </c>
      <c r="D42" s="48">
        <f>PPMT($B42/12,1,$C$5-C42+1,$B$5+SUM($D$7:D41),0)</f>
        <v>-1269.9289637286377</v>
      </c>
      <c r="E42" s="48">
        <f>-($B$5+SUM($D$7:$D41))*$B42/12</f>
        <v>-168460.60612775953</v>
      </c>
      <c r="F42" s="48">
        <f t="shared" si="0"/>
        <v>-169730.53509148816</v>
      </c>
      <c r="G42" s="48">
        <f>($B$5+SUM($D$7:$D42))</f>
        <v>6969513.7728745965</v>
      </c>
    </row>
    <row r="43" spans="2:7">
      <c r="B43" s="45">
        <f>'Ипотечный калькулятор'!$C$21</f>
        <v>0.29000000000000004</v>
      </c>
      <c r="C43" s="46">
        <v>37</v>
      </c>
      <c r="D43" s="48">
        <f>PPMT($B43/12,1,$C$5-C43+1,$B$5+SUM($D$7:D42),0)</f>
        <v>-1300.6189136854125</v>
      </c>
      <c r="E43" s="48">
        <f>-($B$5+SUM($D$7:$D42))*$B43/12</f>
        <v>-168429.91617780278</v>
      </c>
      <c r="F43" s="48">
        <f t="shared" si="0"/>
        <v>-169730.53509148819</v>
      </c>
      <c r="G43" s="48">
        <f>($B$5+SUM($D$7:$D43))</f>
        <v>6968213.1539609106</v>
      </c>
    </row>
    <row r="44" spans="2:7">
      <c r="B44" s="45">
        <f>'Ипотечный калькулятор'!$C$21</f>
        <v>0.29000000000000004</v>
      </c>
      <c r="C44" s="47">
        <v>38</v>
      </c>
      <c r="D44" s="48">
        <f>PPMT($B44/12,1,$C$5-C44+1,$B$5+SUM($D$7:D43),0)</f>
        <v>-1332.0505374328095</v>
      </c>
      <c r="E44" s="48">
        <f>-($B$5+SUM($D$7:$D43))*$B44/12</f>
        <v>-168398.48455405535</v>
      </c>
      <c r="F44" s="48">
        <f t="shared" si="0"/>
        <v>-169730.53509148816</v>
      </c>
      <c r="G44" s="48">
        <f>($B$5+SUM($D$7:$D44))</f>
        <v>6966881.1034234781</v>
      </c>
    </row>
    <row r="45" spans="2:7">
      <c r="B45" s="45">
        <f>'Ипотечный калькулятор'!$C$21</f>
        <v>0.29000000000000004</v>
      </c>
      <c r="C45" s="46">
        <v>39</v>
      </c>
      <c r="D45" s="48">
        <f>PPMT($B45/12,1,$C$5-C45+1,$B$5+SUM($D$7:D44),0)</f>
        <v>-1364.2417587541031</v>
      </c>
      <c r="E45" s="48">
        <f>-($B$5+SUM($D$7:$D44))*$B45/12</f>
        <v>-168366.29333273406</v>
      </c>
      <c r="F45" s="48">
        <f t="shared" si="0"/>
        <v>-169730.53509148816</v>
      </c>
      <c r="G45" s="48">
        <f>($B$5+SUM($D$7:$D45))</f>
        <v>6965516.8616647236</v>
      </c>
    </row>
    <row r="46" spans="2:7">
      <c r="B46" s="45">
        <f>'Ипотечный калькулятор'!$C$21</f>
        <v>0.29000000000000004</v>
      </c>
      <c r="C46" s="47">
        <v>40</v>
      </c>
      <c r="D46" s="48">
        <f>PPMT($B46/12,1,$C$5-C46+1,$B$5+SUM($D$7:D45),0)</f>
        <v>-1397.2109345906611</v>
      </c>
      <c r="E46" s="48">
        <f>-($B$5+SUM($D$7:$D45))*$B46/12</f>
        <v>-168333.32415689752</v>
      </c>
      <c r="F46" s="48">
        <f t="shared" si="0"/>
        <v>-169730.53509148819</v>
      </c>
      <c r="G46" s="48">
        <f>($B$5+SUM($D$7:$D46))</f>
        <v>6964119.6507301331</v>
      </c>
    </row>
    <row r="47" spans="2:7">
      <c r="B47" s="45">
        <f>'Ипотечный калькулятор'!$C$21</f>
        <v>0.29000000000000004</v>
      </c>
      <c r="C47" s="46">
        <v>41</v>
      </c>
      <c r="D47" s="48">
        <f>PPMT($B47/12,1,$C$5-C47+1,$B$5+SUM($D$7:D46),0)</f>
        <v>-1430.9768655099347</v>
      </c>
      <c r="E47" s="48">
        <f>-($B$5+SUM($D$7:$D46))*$B47/12</f>
        <v>-168299.55822597825</v>
      </c>
      <c r="F47" s="48">
        <f t="shared" si="0"/>
        <v>-169730.53509148819</v>
      </c>
      <c r="G47" s="48">
        <f>($B$5+SUM($D$7:$D47))</f>
        <v>6962688.6738646235</v>
      </c>
    </row>
    <row r="48" spans="2:7">
      <c r="B48" s="45">
        <f>'Ипотечный калькулятор'!$C$21</f>
        <v>0.29000000000000004</v>
      </c>
      <c r="C48" s="47">
        <v>42</v>
      </c>
      <c r="D48" s="48">
        <f>PPMT($B48/12,1,$C$5-C48+1,$B$5+SUM($D$7:D47),0)</f>
        <v>-1465.5588064264241</v>
      </c>
      <c r="E48" s="48">
        <f>-($B$5+SUM($D$7:$D47))*$B48/12</f>
        <v>-168264.97628506177</v>
      </c>
      <c r="F48" s="48">
        <f t="shared" si="0"/>
        <v>-169730.53509148819</v>
      </c>
      <c r="G48" s="48">
        <f>($B$5+SUM($D$7:$D48))</f>
        <v>6961223.1150581967</v>
      </c>
    </row>
    <row r="49" spans="2:7">
      <c r="B49" s="45">
        <f>'Ипотечный калькулятор'!$C$21</f>
        <v>0.29000000000000004</v>
      </c>
      <c r="C49" s="46">
        <v>43</v>
      </c>
      <c r="D49" s="48">
        <f>PPMT($B49/12,1,$C$5-C49+1,$B$5+SUM($D$7:D48),0)</f>
        <v>-1500.97647758173</v>
      </c>
      <c r="E49" s="48">
        <f>-($B$5+SUM($D$7:$D48))*$B49/12</f>
        <v>-168229.55861390644</v>
      </c>
      <c r="F49" s="48">
        <f t="shared" si="0"/>
        <v>-169730.53509148816</v>
      </c>
      <c r="G49" s="48">
        <f>($B$5+SUM($D$7:$D49))</f>
        <v>6959722.1385806147</v>
      </c>
    </row>
    <row r="50" spans="2:7">
      <c r="B50" s="45">
        <f>'Ипотечный калькулятор'!$C$21</f>
        <v>0.29000000000000004</v>
      </c>
      <c r="C50" s="47">
        <v>44</v>
      </c>
      <c r="D50" s="48">
        <f>PPMT($B50/12,1,$C$5-C50+1,$B$5+SUM($D$7:D49),0)</f>
        <v>-1537.2500757899556</v>
      </c>
      <c r="E50" s="48">
        <f>-($B$5+SUM($D$7:$D49))*$B50/12</f>
        <v>-168193.2850156982</v>
      </c>
      <c r="F50" s="48">
        <f t="shared" si="0"/>
        <v>-169730.53509148816</v>
      </c>
      <c r="G50" s="48">
        <f>($B$5+SUM($D$7:$D50))</f>
        <v>6958184.8885048246</v>
      </c>
    </row>
    <row r="51" spans="2:7">
      <c r="B51" s="45">
        <f>'Ипотечный калькулятор'!$C$21</f>
        <v>0.29000000000000004</v>
      </c>
      <c r="C51" s="46">
        <v>45</v>
      </c>
      <c r="D51" s="48">
        <f>PPMT($B51/12,1,$C$5-C51+1,$B$5+SUM($D$7:D50),0)</f>
        <v>-1574.4002859548789</v>
      </c>
      <c r="E51" s="48">
        <f>-($B$5+SUM($D$7:$D50))*$B51/12</f>
        <v>-168156.13480553328</v>
      </c>
      <c r="F51" s="48">
        <f t="shared" si="0"/>
        <v>-169730.53509148816</v>
      </c>
      <c r="G51" s="48">
        <f>($B$5+SUM($D$7:$D51))</f>
        <v>6956610.48821887</v>
      </c>
    </row>
    <row r="52" spans="2:7">
      <c r="B52" s="45">
        <f>'Ипотечный калькулятор'!$C$21</f>
        <v>0.29000000000000004</v>
      </c>
      <c r="C52" s="47">
        <v>46</v>
      </c>
      <c r="D52" s="48">
        <f>PPMT($B52/12,1,$C$5-C52+1,$B$5+SUM($D$7:D51),0)</f>
        <v>-1612.4482928654547</v>
      </c>
      <c r="E52" s="48">
        <f>-($B$5+SUM($D$7:$D51))*$B52/12</f>
        <v>-168118.08679862271</v>
      </c>
      <c r="F52" s="48">
        <f t="shared" si="0"/>
        <v>-169730.53509148816</v>
      </c>
      <c r="G52" s="48">
        <f>($B$5+SUM($D$7:$D52))</f>
        <v>6954998.0399260046</v>
      </c>
    </row>
    <row r="53" spans="2:7">
      <c r="B53" s="45">
        <f>'Ипотечный калькулятор'!$C$21</f>
        <v>0.29000000000000004</v>
      </c>
      <c r="C53" s="46">
        <v>47</v>
      </c>
      <c r="D53" s="48">
        <f>PPMT($B53/12,1,$C$5-C53+1,$B$5+SUM($D$7:D52),0)</f>
        <v>-1651.4157932763708</v>
      </c>
      <c r="E53" s="48">
        <f>-($B$5+SUM($D$7:$D52))*$B53/12</f>
        <v>-168079.11929821179</v>
      </c>
      <c r="F53" s="48">
        <f t="shared" si="0"/>
        <v>-169730.53509148816</v>
      </c>
      <c r="G53" s="48">
        <f>($B$5+SUM($D$7:$D53))</f>
        <v>6953346.6241327282</v>
      </c>
    </row>
    <row r="54" spans="2:7">
      <c r="B54" s="45">
        <f>'Ипотечный калькулятор'!$C$21</f>
        <v>0.29000000000000004</v>
      </c>
      <c r="C54" s="47">
        <v>48</v>
      </c>
      <c r="D54" s="48">
        <f>PPMT($B54/12,1,$C$5-C54+1,$B$5+SUM($D$7:D53),0)</f>
        <v>-1691.32500828055</v>
      </c>
      <c r="E54" s="48">
        <f>-($B$5+SUM($D$7:$D53))*$B54/12</f>
        <v>-168039.21008320761</v>
      </c>
      <c r="F54" s="48">
        <f t="shared" si="0"/>
        <v>-169730.53509148816</v>
      </c>
      <c r="G54" s="48">
        <f>($B$5+SUM($D$7:$D54))</f>
        <v>6951655.2991244476</v>
      </c>
    </row>
    <row r="55" spans="2:7">
      <c r="B55" s="45">
        <f>'Ипотечный калькулятор'!$C$21</f>
        <v>0.29000000000000004</v>
      </c>
      <c r="C55" s="46">
        <v>49</v>
      </c>
      <c r="D55" s="48">
        <f>PPMT($B55/12,1,$C$5-C55+1,$B$5+SUM($D$7:D54),0)</f>
        <v>-1732.1986959806627</v>
      </c>
      <c r="E55" s="48">
        <f>-($B$5+SUM($D$7:$D54))*$B55/12</f>
        <v>-167998.3363955075</v>
      </c>
      <c r="F55" s="48">
        <f t="shared" si="0"/>
        <v>-169730.53509148816</v>
      </c>
      <c r="G55" s="48">
        <f>($B$5+SUM($D$7:$D55))</f>
        <v>6949923.1004284667</v>
      </c>
    </row>
    <row r="56" spans="2:7">
      <c r="B56" s="45">
        <f>'Ипотечный калькулятор'!$C$21</f>
        <v>0.29000000000000004</v>
      </c>
      <c r="C56" s="47">
        <v>50</v>
      </c>
      <c r="D56" s="48">
        <f>PPMT($B56/12,1,$C$5-C56+1,$B$5+SUM($D$7:D55),0)</f>
        <v>-1774.0601644668611</v>
      </c>
      <c r="E56" s="48">
        <f>-($B$5+SUM($D$7:$D55))*$B56/12</f>
        <v>-167956.47492702131</v>
      </c>
      <c r="F56" s="48">
        <f t="shared" si="0"/>
        <v>-169730.53509148816</v>
      </c>
      <c r="G56" s="48">
        <f>($B$5+SUM($D$7:$D56))</f>
        <v>6948149.0402640002</v>
      </c>
    </row>
    <row r="57" spans="2:7">
      <c r="B57" s="45">
        <f>'Ипотечный калькулятор'!$C$21</f>
        <v>0.29000000000000004</v>
      </c>
      <c r="C57" s="46">
        <v>51</v>
      </c>
      <c r="D57" s="48">
        <f>PPMT($B57/12,1,$C$5-C57+1,$B$5+SUM($D$7:D56),0)</f>
        <v>-1816.9332851081447</v>
      </c>
      <c r="E57" s="48">
        <f>-($B$5+SUM($D$7:$D56))*$B57/12</f>
        <v>-167913.60180638003</v>
      </c>
      <c r="F57" s="48">
        <f t="shared" si="0"/>
        <v>-169730.53509148819</v>
      </c>
      <c r="G57" s="48">
        <f>($B$5+SUM($D$7:$D57))</f>
        <v>6946332.1069788923</v>
      </c>
    </row>
    <row r="58" spans="2:7">
      <c r="B58" s="45">
        <f>'Ипотечный калькулятор'!$C$21</f>
        <v>0.29000000000000004</v>
      </c>
      <c r="C58" s="47">
        <v>52</v>
      </c>
      <c r="D58" s="48">
        <f>PPMT($B58/12,1,$C$5-C58+1,$B$5+SUM($D$7:D57),0)</f>
        <v>-1860.8425061649259</v>
      </c>
      <c r="E58" s="48">
        <f>-($B$5+SUM($D$7:$D57))*$B58/12</f>
        <v>-167869.69258532327</v>
      </c>
      <c r="F58" s="48">
        <f t="shared" si="0"/>
        <v>-169730.53509148819</v>
      </c>
      <c r="G58" s="48">
        <f>($B$5+SUM($D$7:$D58))</f>
        <v>6944471.2644727267</v>
      </c>
    </row>
    <row r="59" spans="2:7">
      <c r="B59" s="45">
        <f>'Ипотечный калькулятор'!$C$21</f>
        <v>0.29000000000000004</v>
      </c>
      <c r="C59" s="46">
        <v>53</v>
      </c>
      <c r="D59" s="48">
        <f>PPMT($B59/12,1,$C$5-C59+1,$B$5+SUM($D$7:D58),0)</f>
        <v>-1905.8128667305766</v>
      </c>
      <c r="E59" s="48">
        <f>-($B$5+SUM($D$7:$D58))*$B59/12</f>
        <v>-167824.72222475757</v>
      </c>
      <c r="F59" s="48">
        <f t="shared" si="0"/>
        <v>-169730.53509148816</v>
      </c>
      <c r="G59" s="48">
        <f>($B$5+SUM($D$7:$D59))</f>
        <v>6942565.451605997</v>
      </c>
    </row>
    <row r="60" spans="2:7">
      <c r="B60" s="45">
        <f>'Ипотечный калькулятор'!$C$21</f>
        <v>0.29000000000000004</v>
      </c>
      <c r="C60" s="47">
        <v>54</v>
      </c>
      <c r="D60" s="48">
        <f>PPMT($B60/12,1,$C$5-C60+1,$B$5+SUM($D$7:D59),0)</f>
        <v>-1951.8700110098987</v>
      </c>
      <c r="E60" s="48">
        <f>-($B$5+SUM($D$7:$D59))*$B60/12</f>
        <v>-167778.66508047827</v>
      </c>
      <c r="F60" s="48">
        <f t="shared" si="0"/>
        <v>-169730.53509148816</v>
      </c>
      <c r="G60" s="48">
        <f>($B$5+SUM($D$7:$D60))</f>
        <v>6940613.5815949868</v>
      </c>
    </row>
    <row r="61" spans="2:7">
      <c r="B61" s="45">
        <f>'Ипотечный калькулятор'!$C$21</f>
        <v>0.29000000000000004</v>
      </c>
      <c r="C61" s="46">
        <v>55</v>
      </c>
      <c r="D61" s="48">
        <f>PPMT($B61/12,1,$C$5-C61+1,$B$5+SUM($D$7:D60),0)</f>
        <v>-1999.0402029426386</v>
      </c>
      <c r="E61" s="48">
        <f>-($B$5+SUM($D$7:$D60))*$B61/12</f>
        <v>-167731.49488854554</v>
      </c>
      <c r="F61" s="48">
        <f t="shared" si="0"/>
        <v>-169730.53509148819</v>
      </c>
      <c r="G61" s="48">
        <f>($B$5+SUM($D$7:$D61))</f>
        <v>6938614.5413920442</v>
      </c>
    </row>
    <row r="62" spans="2:7">
      <c r="B62" s="45">
        <f>'Ипотечный калькулятор'!$C$21</f>
        <v>0.29000000000000004</v>
      </c>
      <c r="C62" s="47">
        <v>56</v>
      </c>
      <c r="D62" s="48">
        <f>PPMT($B62/12,1,$C$5-C62+1,$B$5+SUM($D$7:D61),0)</f>
        <v>-2047.3503411804202</v>
      </c>
      <c r="E62" s="48">
        <f>-($B$5+SUM($D$7:$D61))*$B62/12</f>
        <v>-167683.18475030776</v>
      </c>
      <c r="F62" s="48">
        <f t="shared" si="0"/>
        <v>-169730.53509148819</v>
      </c>
      <c r="G62" s="48">
        <f>($B$5+SUM($D$7:$D62))</f>
        <v>6936567.1910508638</v>
      </c>
    </row>
    <row r="63" spans="2:7">
      <c r="B63" s="45">
        <f>'Ипотечный калькулятор'!$C$21</f>
        <v>0.29000000000000004</v>
      </c>
      <c r="C63" s="46">
        <v>57</v>
      </c>
      <c r="D63" s="48">
        <f>PPMT($B63/12,1,$C$5-C63+1,$B$5+SUM($D$7:D62),0)</f>
        <v>-2096.8279744256129</v>
      </c>
      <c r="E63" s="48">
        <f>-($B$5+SUM($D$7:$D62))*$B63/12</f>
        <v>-167633.70711706256</v>
      </c>
      <c r="F63" s="48">
        <f t="shared" si="0"/>
        <v>-169730.53509148816</v>
      </c>
      <c r="G63" s="48">
        <f>($B$5+SUM($D$7:$D63))</f>
        <v>6934470.3630764382</v>
      </c>
    </row>
    <row r="64" spans="2:7">
      <c r="B64" s="45">
        <f>'Ипотечный калькулятор'!$C$21</f>
        <v>0.29000000000000004</v>
      </c>
      <c r="C64" s="47">
        <v>58</v>
      </c>
      <c r="D64" s="48">
        <f>PPMT($B64/12,1,$C$5-C64+1,$B$5+SUM($D$7:D63),0)</f>
        <v>-2147.5013171408973</v>
      </c>
      <c r="E64" s="48">
        <f>-($B$5+SUM($D$7:$D63))*$B64/12</f>
        <v>-167583.03377434728</v>
      </c>
      <c r="F64" s="48">
        <f t="shared" si="0"/>
        <v>-169730.53509148819</v>
      </c>
      <c r="G64" s="48">
        <f>($B$5+SUM($D$7:$D64))</f>
        <v>6932322.8617592975</v>
      </c>
    </row>
    <row r="65" spans="2:7">
      <c r="B65" s="45">
        <f>'Ипотечный калькулятор'!$C$21</f>
        <v>0.29000000000000004</v>
      </c>
      <c r="C65" s="46">
        <v>59</v>
      </c>
      <c r="D65" s="48">
        <f>PPMT($B65/12,1,$C$5-C65+1,$B$5+SUM($D$7:D64),0)</f>
        <v>-2199.3992656384698</v>
      </c>
      <c r="E65" s="48">
        <f>-($B$5+SUM($D$7:$D64))*$B65/12</f>
        <v>-167531.13582584972</v>
      </c>
      <c r="F65" s="48">
        <f t="shared" si="0"/>
        <v>-169730.53509148819</v>
      </c>
      <c r="G65" s="48">
        <f>($B$5+SUM($D$7:$D65))</f>
        <v>6930123.462493659</v>
      </c>
    </row>
    <row r="66" spans="2:7">
      <c r="B66" s="45">
        <f>'Ипотечный калькулятор'!$C$21</f>
        <v>0.29000000000000004</v>
      </c>
      <c r="C66" s="47">
        <v>60</v>
      </c>
      <c r="D66" s="48">
        <f>PPMT($B66/12,1,$C$5-C66+1,$B$5+SUM($D$7:D65),0)</f>
        <v>-2252.5514145580673</v>
      </c>
      <c r="E66" s="48">
        <f>-($B$5+SUM($D$7:$D65))*$B66/12</f>
        <v>-167477.9836769301</v>
      </c>
      <c r="F66" s="48">
        <f t="shared" si="0"/>
        <v>-169730.53509148816</v>
      </c>
      <c r="G66" s="48">
        <f>($B$5+SUM($D$7:$D66))</f>
        <v>6927870.9110791003</v>
      </c>
    </row>
    <row r="67" spans="2:7">
      <c r="B67" s="45">
        <f>'Ипотечный калькулятор'!$C$21</f>
        <v>0.29000000000000004</v>
      </c>
      <c r="C67" s="46">
        <v>61</v>
      </c>
      <c r="D67" s="48">
        <f>PPMT($B67/12,1,$C$5-C67+1,$B$5+SUM($D$7:D66),0)</f>
        <v>-2306.9880737432195</v>
      </c>
      <c r="E67" s="48">
        <f>-($B$5+SUM($D$7:$D66))*$B67/12</f>
        <v>-167423.54701774495</v>
      </c>
      <c r="F67" s="48">
        <f t="shared" si="0"/>
        <v>-169730.53509148816</v>
      </c>
      <c r="G67" s="48">
        <f>($B$5+SUM($D$7:$D67))</f>
        <v>6925563.9230053574</v>
      </c>
    </row>
    <row r="68" spans="2:7">
      <c r="B68" s="45">
        <f>'Ипотечный калькулятор'!$C$21</f>
        <v>0.29000000000000004</v>
      </c>
      <c r="C68" s="47">
        <v>62</v>
      </c>
      <c r="D68" s="48">
        <f>PPMT($B68/12,1,$C$5-C68+1,$B$5+SUM($D$7:D67),0)</f>
        <v>-2362.7402855253463</v>
      </c>
      <c r="E68" s="48">
        <f>-($B$5+SUM($D$7:$D67))*$B68/12</f>
        <v>-167367.79480596283</v>
      </c>
      <c r="F68" s="48">
        <f t="shared" si="0"/>
        <v>-169730.53509148819</v>
      </c>
      <c r="G68" s="48">
        <f>($B$5+SUM($D$7:$D68))</f>
        <v>6923201.1827198323</v>
      </c>
    </row>
    <row r="69" spans="2:7">
      <c r="B69" s="45">
        <f>'Ипотечный калькулятор'!$C$21</f>
        <v>0.29000000000000004</v>
      </c>
      <c r="C69" s="46">
        <v>63</v>
      </c>
      <c r="D69" s="48">
        <f>PPMT($B69/12,1,$C$5-C69+1,$B$5+SUM($D$7:D68),0)</f>
        <v>-2419.8398424255433</v>
      </c>
      <c r="E69" s="48">
        <f>-($B$5+SUM($D$7:$D68))*$B69/12</f>
        <v>-167310.69524906264</v>
      </c>
      <c r="F69" s="48">
        <f t="shared" si="0"/>
        <v>-169730.53509148819</v>
      </c>
      <c r="G69" s="48">
        <f>($B$5+SUM($D$7:$D69))</f>
        <v>6920781.3428774066</v>
      </c>
    </row>
    <row r="70" spans="2:7">
      <c r="B70" s="45">
        <f>'Ипотечный калькулятор'!$C$21</f>
        <v>0.29000000000000004</v>
      </c>
      <c r="C70" s="47">
        <v>64</v>
      </c>
      <c r="D70" s="48">
        <f>PPMT($B70/12,1,$C$5-C70+1,$B$5+SUM($D$7:D69),0)</f>
        <v>-2478.3193052841621</v>
      </c>
      <c r="E70" s="48">
        <f>-($B$5+SUM($D$7:$D69))*$B70/12</f>
        <v>-167252.215786204</v>
      </c>
      <c r="F70" s="48">
        <f t="shared" si="0"/>
        <v>-169730.53509148816</v>
      </c>
      <c r="G70" s="48">
        <f>($B$5+SUM($D$7:$D70))</f>
        <v>6918303.0235721227</v>
      </c>
    </row>
    <row r="71" spans="2:7">
      <c r="B71" s="45">
        <f>'Ипотечный калькулятор'!$C$21</f>
        <v>0.29000000000000004</v>
      </c>
      <c r="C71" s="46">
        <v>65</v>
      </c>
      <c r="D71" s="48">
        <f>PPMT($B71/12,1,$C$5-C71+1,$B$5+SUM($D$7:D70),0)</f>
        <v>-2538.2120218285281</v>
      </c>
      <c r="E71" s="48">
        <f>-($B$5+SUM($D$7:$D70))*$B71/12</f>
        <v>-167192.32306965964</v>
      </c>
      <c r="F71" s="48">
        <f t="shared" ref="F71:F134" si="1">SUM(D71:E71)</f>
        <v>-169730.53509148819</v>
      </c>
      <c r="G71" s="48">
        <f>($B$5+SUM($D$7:$D71))</f>
        <v>6915764.811550294</v>
      </c>
    </row>
    <row r="72" spans="2:7">
      <c r="B72" s="45">
        <f>'Ипотечный калькулятор'!$C$21</f>
        <v>0.29000000000000004</v>
      </c>
      <c r="C72" s="47">
        <v>66</v>
      </c>
      <c r="D72" s="48">
        <f>PPMT($B72/12,1,$C$5-C72+1,$B$5+SUM($D$7:D71),0)</f>
        <v>-2599.5521456893825</v>
      </c>
      <c r="E72" s="48">
        <f>-($B$5+SUM($D$7:$D71))*$B72/12</f>
        <v>-167130.98294579881</v>
      </c>
      <c r="F72" s="48">
        <f t="shared" si="1"/>
        <v>-169730.53509148819</v>
      </c>
      <c r="G72" s="48">
        <f>($B$5+SUM($D$7:$D72))</f>
        <v>6913165.2594046043</v>
      </c>
    </row>
    <row r="73" spans="2:7">
      <c r="B73" s="45">
        <f>'Ипотечный калькулятор'!$C$21</f>
        <v>0.29000000000000004</v>
      </c>
      <c r="C73" s="46">
        <v>67</v>
      </c>
      <c r="D73" s="48">
        <f>PPMT($B73/12,1,$C$5-C73+1,$B$5+SUM($D$7:D72),0)</f>
        <v>-2662.3746558768776</v>
      </c>
      <c r="E73" s="48">
        <f>-($B$5+SUM($D$7:$D72))*$B73/12</f>
        <v>-167068.16043561129</v>
      </c>
      <c r="F73" s="48">
        <f t="shared" si="1"/>
        <v>-169730.53509148819</v>
      </c>
      <c r="G73" s="48">
        <f>($B$5+SUM($D$7:$D73))</f>
        <v>6910502.8847487271</v>
      </c>
    </row>
    <row r="74" spans="2:7">
      <c r="B74" s="45">
        <f>'Ипотечный калькулятор'!$C$21</f>
        <v>0.29000000000000004</v>
      </c>
      <c r="C74" s="47">
        <v>68</v>
      </c>
      <c r="D74" s="48">
        <f>PPMT($B74/12,1,$C$5-C74+1,$B$5+SUM($D$7:D73),0)</f>
        <v>-2726.7153767272366</v>
      </c>
      <c r="E74" s="48">
        <f>-($B$5+SUM($D$7:$D73))*$B74/12</f>
        <v>-167003.81971476093</v>
      </c>
      <c r="F74" s="48">
        <f t="shared" si="1"/>
        <v>-169730.53509148816</v>
      </c>
      <c r="G74" s="48">
        <f>($B$5+SUM($D$7:$D74))</f>
        <v>6907776.1693720007</v>
      </c>
    </row>
    <row r="75" spans="2:7">
      <c r="B75" s="45">
        <f>'Ипотечный калькулятор'!$C$21</f>
        <v>0.29000000000000004</v>
      </c>
      <c r="C75" s="46">
        <v>69</v>
      </c>
      <c r="D75" s="48">
        <f>PPMT($B75/12,1,$C$5-C75+1,$B$5+SUM($D$7:D74),0)</f>
        <v>-2792.6109983314773</v>
      </c>
      <c r="E75" s="48">
        <f>-($B$5+SUM($D$7:$D74))*$B75/12</f>
        <v>-166937.9240931567</v>
      </c>
      <c r="F75" s="48">
        <f t="shared" si="1"/>
        <v>-169730.53509148819</v>
      </c>
      <c r="G75" s="48">
        <f>($B$5+SUM($D$7:$D75))</f>
        <v>6904983.5583736692</v>
      </c>
    </row>
    <row r="76" spans="2:7">
      <c r="B76" s="45">
        <f>'Ипотечный калькулятор'!$C$21</f>
        <v>0.29000000000000004</v>
      </c>
      <c r="C76" s="47">
        <v>70</v>
      </c>
      <c r="D76" s="48">
        <f>PPMT($B76/12,1,$C$5-C76+1,$B$5+SUM($D$7:D75),0)</f>
        <v>-2860.0990974578194</v>
      </c>
      <c r="E76" s="48">
        <f>-($B$5+SUM($D$7:$D75))*$B76/12</f>
        <v>-166870.43599403035</v>
      </c>
      <c r="F76" s="48">
        <f t="shared" si="1"/>
        <v>-169730.53509148819</v>
      </c>
      <c r="G76" s="48">
        <f>($B$5+SUM($D$7:$D76))</f>
        <v>6902123.4592762114</v>
      </c>
    </row>
    <row r="77" spans="2:7">
      <c r="B77" s="45">
        <f>'Ипотечный калькулятор'!$C$21</f>
        <v>0.29000000000000004</v>
      </c>
      <c r="C77" s="46">
        <v>71</v>
      </c>
      <c r="D77" s="48">
        <f>PPMT($B77/12,1,$C$5-C77+1,$B$5+SUM($D$7:D76),0)</f>
        <v>-2929.2181589797178</v>
      </c>
      <c r="E77" s="48">
        <f>-($B$5+SUM($D$7:$D76))*$B77/12</f>
        <v>-166801.31693250846</v>
      </c>
      <c r="F77" s="48">
        <f t="shared" si="1"/>
        <v>-169730.53509148819</v>
      </c>
      <c r="G77" s="48">
        <f>($B$5+SUM($D$7:$D77))</f>
        <v>6899194.2411172315</v>
      </c>
    </row>
    <row r="78" spans="2:7">
      <c r="B78" s="45">
        <f>'Ипотечный калькулятор'!$C$21</f>
        <v>0.29000000000000004</v>
      </c>
      <c r="C78" s="47">
        <v>72</v>
      </c>
      <c r="D78" s="48">
        <f>PPMT($B78/12,1,$C$5-C78+1,$B$5+SUM($D$7:D77),0)</f>
        <v>-3000.0075978217292</v>
      </c>
      <c r="E78" s="48">
        <f>-($B$5+SUM($D$7:$D77))*$B78/12</f>
        <v>-166730.52749366645</v>
      </c>
      <c r="F78" s="48">
        <f t="shared" si="1"/>
        <v>-169730.53509148819</v>
      </c>
      <c r="G78" s="48">
        <f>($B$5+SUM($D$7:$D78))</f>
        <v>6896194.2335194098</v>
      </c>
    </row>
    <row r="79" spans="2:7">
      <c r="B79" s="45">
        <f>'Ипотечный калькулятор'!$C$21</f>
        <v>0.29000000000000004</v>
      </c>
      <c r="C79" s="46">
        <v>73</v>
      </c>
      <c r="D79" s="48">
        <f>PPMT($B79/12,1,$C$5-C79+1,$B$5+SUM($D$7:D78),0)</f>
        <v>-3072.5077814357528</v>
      </c>
      <c r="E79" s="48">
        <f>-($B$5+SUM($D$7:$D78))*$B79/12</f>
        <v>-166658.02731005242</v>
      </c>
      <c r="F79" s="48">
        <f t="shared" si="1"/>
        <v>-169730.53509148819</v>
      </c>
      <c r="G79" s="48">
        <f>($B$5+SUM($D$7:$D79))</f>
        <v>6893121.725737974</v>
      </c>
    </row>
    <row r="80" spans="2:7">
      <c r="B80" s="45">
        <f>'Ипотечный калькулятор'!$C$21</f>
        <v>0.29000000000000004</v>
      </c>
      <c r="C80" s="47">
        <v>74</v>
      </c>
      <c r="D80" s="48">
        <f>PPMT($B80/12,1,$C$5-C80+1,$B$5+SUM($D$7:D79),0)</f>
        <v>-3146.7600528204507</v>
      </c>
      <c r="E80" s="48">
        <f>-($B$5+SUM($D$7:$D79))*$B80/12</f>
        <v>-166583.77503866772</v>
      </c>
      <c r="F80" s="48">
        <f t="shared" si="1"/>
        <v>-169730.53509148819</v>
      </c>
      <c r="G80" s="48">
        <f>($B$5+SUM($D$7:$D80))</f>
        <v>6889974.9656851534</v>
      </c>
    </row>
    <row r="81" spans="2:7">
      <c r="B81" s="45">
        <f>'Ипотечный калькулятор'!$C$21</f>
        <v>0.29000000000000004</v>
      </c>
      <c r="C81" s="46">
        <v>75</v>
      </c>
      <c r="D81" s="48">
        <f>PPMT($B81/12,1,$C$5-C81+1,$B$5+SUM($D$7:D80),0)</f>
        <v>-3222.8067540969446</v>
      </c>
      <c r="E81" s="48">
        <f>-($B$5+SUM($D$7:$D80))*$B81/12</f>
        <v>-166507.72833739122</v>
      </c>
      <c r="F81" s="48">
        <f t="shared" si="1"/>
        <v>-169730.53509148816</v>
      </c>
      <c r="G81" s="48">
        <f>($B$5+SUM($D$7:$D81))</f>
        <v>6886752.158931056</v>
      </c>
    </row>
    <row r="82" spans="2:7">
      <c r="B82" s="45">
        <f>'Ипотечный калькулятор'!$C$21</f>
        <v>0.29000000000000004</v>
      </c>
      <c r="C82" s="47">
        <v>76</v>
      </c>
      <c r="D82" s="48">
        <f>PPMT($B82/12,1,$C$5-C82+1,$B$5+SUM($D$7:D81),0)</f>
        <v>-3300.6912506542876</v>
      </c>
      <c r="E82" s="48">
        <f>-($B$5+SUM($D$7:$D81))*$B82/12</f>
        <v>-166429.84384083387</v>
      </c>
      <c r="F82" s="48">
        <f t="shared" si="1"/>
        <v>-169730.53509148816</v>
      </c>
      <c r="G82" s="48">
        <f>($B$5+SUM($D$7:$D82))</f>
        <v>6883451.4676804021</v>
      </c>
    </row>
    <row r="83" spans="2:7">
      <c r="B83" s="45">
        <f>'Ипотечный калькулятор'!$C$21</f>
        <v>0.29000000000000004</v>
      </c>
      <c r="C83" s="46">
        <v>77</v>
      </c>
      <c r="D83" s="48">
        <f>PPMT($B83/12,1,$C$5-C83+1,$B$5+SUM($D$7:D82),0)</f>
        <v>-3380.457955878433</v>
      </c>
      <c r="E83" s="48">
        <f>-($B$5+SUM($D$7:$D82))*$B83/12</f>
        <v>-166350.07713560972</v>
      </c>
      <c r="F83" s="48">
        <f t="shared" si="1"/>
        <v>-169730.53509148816</v>
      </c>
      <c r="G83" s="48">
        <f>($B$5+SUM($D$7:$D83))</f>
        <v>6880071.0097245239</v>
      </c>
    </row>
    <row r="84" spans="2:7">
      <c r="B84" s="45">
        <f>'Ипотечный калькулятор'!$C$21</f>
        <v>0.29000000000000004</v>
      </c>
      <c r="C84" s="47">
        <v>78</v>
      </c>
      <c r="D84" s="48">
        <f>PPMT($B84/12,1,$C$5-C84+1,$B$5+SUM($D$7:D83),0)</f>
        <v>-3462.1523564788286</v>
      </c>
      <c r="E84" s="48">
        <f>-($B$5+SUM($D$7:$D83))*$B84/12</f>
        <v>-166268.38273500933</v>
      </c>
      <c r="F84" s="48">
        <f t="shared" si="1"/>
        <v>-169730.53509148816</v>
      </c>
      <c r="G84" s="48">
        <f>($B$5+SUM($D$7:$D84))</f>
        <v>6876608.8573680446</v>
      </c>
    </row>
    <row r="85" spans="2:7">
      <c r="B85" s="45">
        <f>'Ипотечный калькулятор'!$C$21</f>
        <v>0.29000000000000004</v>
      </c>
      <c r="C85" s="46">
        <v>79</v>
      </c>
      <c r="D85" s="48">
        <f>PPMT($B85/12,1,$C$5-C85+1,$B$5+SUM($D$7:D84),0)</f>
        <v>-3545.821038427066</v>
      </c>
      <c r="E85" s="48">
        <f>-($B$5+SUM($D$7:$D84))*$B85/12</f>
        <v>-166184.71405306109</v>
      </c>
      <c r="F85" s="48">
        <f t="shared" si="1"/>
        <v>-169730.53509148816</v>
      </c>
      <c r="G85" s="48">
        <f>($B$5+SUM($D$7:$D85))</f>
        <v>6873063.0363296177</v>
      </c>
    </row>
    <row r="86" spans="2:7">
      <c r="B86" s="45">
        <f>'Ипотечный калькулятор'!$C$21</f>
        <v>0.29000000000000004</v>
      </c>
      <c r="C86" s="47">
        <v>80</v>
      </c>
      <c r="D86" s="48">
        <f>PPMT($B86/12,1,$C$5-C86+1,$B$5+SUM($D$7:D85),0)</f>
        <v>-3631.5117135223873</v>
      </c>
      <c r="E86" s="48">
        <f>-($B$5+SUM($D$7:$D85))*$B86/12</f>
        <v>-166099.02337796579</v>
      </c>
      <c r="F86" s="48">
        <f t="shared" si="1"/>
        <v>-169730.53509148819</v>
      </c>
      <c r="G86" s="48">
        <f>($B$5+SUM($D$7:$D86))</f>
        <v>6869431.5246160952</v>
      </c>
    </row>
    <row r="87" spans="2:7">
      <c r="B87" s="45">
        <f>'Ипотечный калькулятор'!$C$21</f>
        <v>0.29000000000000004</v>
      </c>
      <c r="C87" s="46">
        <v>81</v>
      </c>
      <c r="D87" s="48">
        <f>PPMT($B87/12,1,$C$5-C87+1,$B$5+SUM($D$7:D86),0)</f>
        <v>-3719.2732465991785</v>
      </c>
      <c r="E87" s="48">
        <f>-($B$5+SUM($D$7:$D86))*$B87/12</f>
        <v>-166011.261844889</v>
      </c>
      <c r="F87" s="48">
        <f t="shared" si="1"/>
        <v>-169730.53509148819</v>
      </c>
      <c r="G87" s="48">
        <f>($B$5+SUM($D$7:$D87))</f>
        <v>6865712.2513694959</v>
      </c>
    </row>
    <row r="88" spans="2:7">
      <c r="B88" s="45">
        <f>'Ипотечный калькулятор'!$C$21</f>
        <v>0.29000000000000004</v>
      </c>
      <c r="C88" s="47">
        <v>82</v>
      </c>
      <c r="D88" s="48">
        <f>PPMT($B88/12,1,$C$5-C88+1,$B$5+SUM($D$7:D87),0)</f>
        <v>-3809.1556833919917</v>
      </c>
      <c r="E88" s="48">
        <f>-($B$5+SUM($D$7:$D87))*$B88/12</f>
        <v>-165921.37940809617</v>
      </c>
      <c r="F88" s="48">
        <f t="shared" si="1"/>
        <v>-169730.53509148816</v>
      </c>
      <c r="G88" s="48">
        <f>($B$5+SUM($D$7:$D88))</f>
        <v>6861903.0956861041</v>
      </c>
    </row>
    <row r="89" spans="2:7">
      <c r="B89" s="45">
        <f>'Ипотечный калькулятор'!$C$21</f>
        <v>0.29000000000000004</v>
      </c>
      <c r="C89" s="46">
        <v>83</v>
      </c>
      <c r="D89" s="48">
        <f>PPMT($B89/12,1,$C$5-C89+1,$B$5+SUM($D$7:D88),0)</f>
        <v>-3901.2102790739655</v>
      </c>
      <c r="E89" s="48">
        <f>-($B$5+SUM($D$7:$D88))*$B89/12</f>
        <v>-165829.32481241421</v>
      </c>
      <c r="F89" s="48">
        <f t="shared" si="1"/>
        <v>-169730.53509148819</v>
      </c>
      <c r="G89" s="48">
        <f>($B$5+SUM($D$7:$D89))</f>
        <v>6858001.8854070306</v>
      </c>
    </row>
    <row r="90" spans="2:7">
      <c r="B90" s="45">
        <f>'Ипотечный калькулятор'!$C$21</f>
        <v>0.29000000000000004</v>
      </c>
      <c r="C90" s="47">
        <v>84</v>
      </c>
      <c r="D90" s="48">
        <f>PPMT($B90/12,1,$C$5-C90+1,$B$5+SUM($D$7:D89),0)</f>
        <v>-3995.4895274849191</v>
      </c>
      <c r="E90" s="48">
        <f>-($B$5+SUM($D$7:$D89))*$B90/12</f>
        <v>-165735.04556400326</v>
      </c>
      <c r="F90" s="48">
        <f t="shared" si="1"/>
        <v>-169730.53509148819</v>
      </c>
      <c r="G90" s="48">
        <f>($B$5+SUM($D$7:$D90))</f>
        <v>6854006.3958795452</v>
      </c>
    </row>
    <row r="91" spans="2:7">
      <c r="B91" s="45">
        <f>'Ипотечный калькулятор'!$C$21</f>
        <v>0.29000000000000004</v>
      </c>
      <c r="C91" s="46">
        <v>85</v>
      </c>
      <c r="D91" s="48">
        <f>PPMT($B91/12,1,$C$5-C91+1,$B$5+SUM($D$7:D90),0)</f>
        <v>-4092.0471910658048</v>
      </c>
      <c r="E91" s="48">
        <f>-($B$5+SUM($D$7:$D90))*$B91/12</f>
        <v>-165638.48790042236</v>
      </c>
      <c r="F91" s="48">
        <f t="shared" si="1"/>
        <v>-169730.53509148816</v>
      </c>
      <c r="G91" s="48">
        <f>($B$5+SUM($D$7:$D91))</f>
        <v>6849914.3486884795</v>
      </c>
    </row>
    <row r="92" spans="2:7">
      <c r="B92" s="45">
        <f>'Ипотечный калькулятор'!$C$21</f>
        <v>0.29000000000000004</v>
      </c>
      <c r="C92" s="47">
        <v>86</v>
      </c>
      <c r="D92" s="48">
        <f>PPMT($B92/12,1,$C$5-C92+1,$B$5+SUM($D$7:D91),0)</f>
        <v>-4190.9383315165614</v>
      </c>
      <c r="E92" s="48">
        <f>-($B$5+SUM($D$7:$D91))*$B92/12</f>
        <v>-165539.59675997161</v>
      </c>
      <c r="F92" s="48">
        <f t="shared" si="1"/>
        <v>-169730.53509148816</v>
      </c>
      <c r="G92" s="48">
        <f>($B$5+SUM($D$7:$D92))</f>
        <v>6845723.4103569631</v>
      </c>
    </row>
    <row r="93" spans="2:7">
      <c r="B93" s="45">
        <f>'Ипотечный калькулятор'!$C$21</f>
        <v>0.29000000000000004</v>
      </c>
      <c r="C93" s="46">
        <v>87</v>
      </c>
      <c r="D93" s="48">
        <f>PPMT($B93/12,1,$C$5-C93+1,$B$5+SUM($D$7:D92),0)</f>
        <v>-4292.2193411948792</v>
      </c>
      <c r="E93" s="48">
        <f>-($B$5+SUM($D$7:$D92))*$B93/12</f>
        <v>-165438.31575029329</v>
      </c>
      <c r="F93" s="48">
        <f t="shared" si="1"/>
        <v>-169730.53509148816</v>
      </c>
      <c r="G93" s="48">
        <f>($B$5+SUM($D$7:$D93))</f>
        <v>6841431.1910157679</v>
      </c>
    </row>
    <row r="94" spans="2:7">
      <c r="B94" s="45">
        <f>'Ипотечный калькулятор'!$C$21</f>
        <v>0.29000000000000004</v>
      </c>
      <c r="C94" s="47">
        <v>88</v>
      </c>
      <c r="D94" s="48">
        <f>PPMT($B94/12,1,$C$5-C94+1,$B$5+SUM($D$7:D93),0)</f>
        <v>-4395.9479752737552</v>
      </c>
      <c r="E94" s="48">
        <f>-($B$5+SUM($D$7:$D93))*$B94/12</f>
        <v>-165334.58711621442</v>
      </c>
      <c r="F94" s="48">
        <f t="shared" si="1"/>
        <v>-169730.53509148819</v>
      </c>
      <c r="G94" s="48">
        <f>($B$5+SUM($D$7:$D94))</f>
        <v>6837035.2430404946</v>
      </c>
    </row>
    <row r="95" spans="2:7">
      <c r="B95" s="45">
        <f>'Ипотечный калькулятор'!$C$21</f>
        <v>0.29000000000000004</v>
      </c>
      <c r="C95" s="46">
        <v>89</v>
      </c>
      <c r="D95" s="48">
        <f>PPMT($B95/12,1,$C$5-C95+1,$B$5+SUM($D$7:D94),0)</f>
        <v>-4502.1833846762038</v>
      </c>
      <c r="E95" s="48">
        <f>-($B$5+SUM($D$7:$D94))*$B95/12</f>
        <v>-165228.35170681195</v>
      </c>
      <c r="F95" s="48">
        <f t="shared" si="1"/>
        <v>-169730.53509148816</v>
      </c>
      <c r="G95" s="48">
        <f>($B$5+SUM($D$7:$D95))</f>
        <v>6832533.0596558182</v>
      </c>
    </row>
    <row r="96" spans="2:7">
      <c r="B96" s="45">
        <f>'Ипотечный калькулятор'!$C$21</f>
        <v>0.29000000000000004</v>
      </c>
      <c r="C96" s="47">
        <v>90</v>
      </c>
      <c r="D96" s="48">
        <f>PPMT($B96/12,1,$C$5-C96+1,$B$5+SUM($D$7:D95),0)</f>
        <v>-4610.986149805879</v>
      </c>
      <c r="E96" s="48">
        <f>-($B$5+SUM($D$7:$D95))*$B96/12</f>
        <v>-165119.5489416823</v>
      </c>
      <c r="F96" s="48">
        <f t="shared" si="1"/>
        <v>-169730.53509148819</v>
      </c>
      <c r="G96" s="48">
        <f>($B$5+SUM($D$7:$D96))</f>
        <v>6827922.0735060126</v>
      </c>
    </row>
    <row r="97" spans="2:7">
      <c r="B97" s="45">
        <f>'Ипотечный калькулятор'!$C$21</f>
        <v>0.29000000000000004</v>
      </c>
      <c r="C97" s="46">
        <v>91</v>
      </c>
      <c r="D97" s="48">
        <f>PPMT($B97/12,1,$C$5-C97+1,$B$5+SUM($D$7:D96),0)</f>
        <v>-4722.4183150928548</v>
      </c>
      <c r="E97" s="48">
        <f>-($B$5+SUM($D$7:$D96))*$B97/12</f>
        <v>-165008.11677639533</v>
      </c>
      <c r="F97" s="48">
        <f t="shared" si="1"/>
        <v>-169730.53509148819</v>
      </c>
      <c r="G97" s="48">
        <f>($B$5+SUM($D$7:$D97))</f>
        <v>6823199.6551909195</v>
      </c>
    </row>
    <row r="98" spans="2:7">
      <c r="B98" s="45">
        <f>'Ипотечный калькулятор'!$C$21</f>
        <v>0.29000000000000004</v>
      </c>
      <c r="C98" s="47">
        <v>92</v>
      </c>
      <c r="D98" s="48">
        <f>PPMT($B98/12,1,$C$5-C98+1,$B$5+SUM($D$7:D97),0)</f>
        <v>-4836.5434243742648</v>
      </c>
      <c r="E98" s="48">
        <f>-($B$5+SUM($D$7:$D97))*$B98/12</f>
        <v>-164893.99166711391</v>
      </c>
      <c r="F98" s="48">
        <f t="shared" si="1"/>
        <v>-169730.53509148819</v>
      </c>
      <c r="G98" s="48">
        <f>($B$5+SUM($D$7:$D98))</f>
        <v>6818363.1117665451</v>
      </c>
    </row>
    <row r="99" spans="2:7">
      <c r="B99" s="45">
        <f>'Ипотечный калькулятор'!$C$21</f>
        <v>0.29000000000000004</v>
      </c>
      <c r="C99" s="46">
        <v>93</v>
      </c>
      <c r="D99" s="48">
        <f>PPMT($B99/12,1,$C$5-C99+1,$B$5+SUM($D$7:D98),0)</f>
        <v>-4953.4265571299766</v>
      </c>
      <c r="E99" s="48">
        <f>-($B$5+SUM($D$7:$D98))*$B99/12</f>
        <v>-164777.10853435818</v>
      </c>
      <c r="F99" s="48">
        <f t="shared" si="1"/>
        <v>-169730.53509148816</v>
      </c>
      <c r="G99" s="48">
        <f>($B$5+SUM($D$7:$D99))</f>
        <v>6813409.6852094149</v>
      </c>
    </row>
    <row r="100" spans="2:7">
      <c r="B100" s="45">
        <f>'Ипотечный калькулятор'!$C$21</f>
        <v>0.29000000000000004</v>
      </c>
      <c r="C100" s="47">
        <v>94</v>
      </c>
      <c r="D100" s="48">
        <f>PPMT($B100/12,1,$C$5-C100+1,$B$5+SUM($D$7:D99),0)</f>
        <v>-5073.1343655939509</v>
      </c>
      <c r="E100" s="48">
        <f>-($B$5+SUM($D$7:$D99))*$B100/12</f>
        <v>-164657.40072589423</v>
      </c>
      <c r="F100" s="48">
        <f t="shared" si="1"/>
        <v>-169730.53509148819</v>
      </c>
      <c r="G100" s="48">
        <f>($B$5+SUM($D$7:$D100))</f>
        <v>6808336.5508438209</v>
      </c>
    </row>
    <row r="101" spans="2:7">
      <c r="B101" s="45">
        <f>'Ипотечный калькулятор'!$C$21</f>
        <v>0.29000000000000004</v>
      </c>
      <c r="C101" s="46">
        <v>95</v>
      </c>
      <c r="D101" s="48">
        <f>PPMT($B101/12,1,$C$5-C101+1,$B$5+SUM($D$7:D100),0)</f>
        <v>-5195.7351127624715</v>
      </c>
      <c r="E101" s="48">
        <f>-($B$5+SUM($D$7:$D100))*$B101/12</f>
        <v>-164534.7999787257</v>
      </c>
      <c r="F101" s="48">
        <f t="shared" si="1"/>
        <v>-169730.53509148816</v>
      </c>
      <c r="G101" s="48">
        <f>($B$5+SUM($D$7:$D101))</f>
        <v>6803140.8157310588</v>
      </c>
    </row>
    <row r="102" spans="2:7">
      <c r="B102" s="45">
        <f>'Ипотечный калькулятор'!$C$21</f>
        <v>0.29000000000000004</v>
      </c>
      <c r="C102" s="47">
        <v>96</v>
      </c>
      <c r="D102" s="48">
        <f>PPMT($B102/12,1,$C$5-C102+1,$B$5+SUM($D$7:D101),0)</f>
        <v>-5321.2987113208974</v>
      </c>
      <c r="E102" s="48">
        <f>-($B$5+SUM($D$7:$D101))*$B102/12</f>
        <v>-164409.23638016728</v>
      </c>
      <c r="F102" s="48">
        <f t="shared" si="1"/>
        <v>-169730.53509148819</v>
      </c>
      <c r="G102" s="48">
        <f>($B$5+SUM($D$7:$D102))</f>
        <v>6797819.5170197375</v>
      </c>
    </row>
    <row r="103" spans="2:7">
      <c r="B103" s="45">
        <f>'Ипотечный калькулятор'!$C$21</f>
        <v>0.29000000000000004</v>
      </c>
      <c r="C103" s="46">
        <v>97</v>
      </c>
      <c r="D103" s="48">
        <f>PPMT($B103/12,1,$C$5-C103+1,$B$5+SUM($D$7:D102),0)</f>
        <v>-5449.8967635111512</v>
      </c>
      <c r="E103" s="48">
        <f>-($B$5+SUM($D$7:$D102))*$B103/12</f>
        <v>-164280.63832797701</v>
      </c>
      <c r="F103" s="48">
        <f t="shared" si="1"/>
        <v>-169730.53509148816</v>
      </c>
      <c r="G103" s="48">
        <f>($B$5+SUM($D$7:$D103))</f>
        <v>6792369.6202562265</v>
      </c>
    </row>
    <row r="104" spans="2:7">
      <c r="B104" s="45">
        <f>'Ипотечный калькулятор'!$C$21</f>
        <v>0.29000000000000004</v>
      </c>
      <c r="C104" s="47">
        <v>98</v>
      </c>
      <c r="D104" s="48">
        <f>PPMT($B104/12,1,$C$5-C104+1,$B$5+SUM($D$7:D103),0)</f>
        <v>-5581.6026019626725</v>
      </c>
      <c r="E104" s="48">
        <f>-($B$5+SUM($D$7:$D103))*$B104/12</f>
        <v>-164148.9324895255</v>
      </c>
      <c r="F104" s="48">
        <f t="shared" si="1"/>
        <v>-169730.53509148816</v>
      </c>
      <c r="G104" s="48">
        <f>($B$5+SUM($D$7:$D104))</f>
        <v>6786788.0176542643</v>
      </c>
    </row>
    <row r="105" spans="2:7">
      <c r="B105" s="45">
        <f>'Ипотечный калькулятор'!$C$21</f>
        <v>0.29000000000000004</v>
      </c>
      <c r="C105" s="46">
        <v>99</v>
      </c>
      <c r="D105" s="48">
        <f>PPMT($B105/12,1,$C$5-C105+1,$B$5+SUM($D$7:D104),0)</f>
        <v>-5716.4913315101048</v>
      </c>
      <c r="E105" s="48">
        <f>-($B$5+SUM($D$7:$D104))*$B105/12</f>
        <v>-164014.04375997806</v>
      </c>
      <c r="F105" s="48">
        <f t="shared" si="1"/>
        <v>-169730.53509148816</v>
      </c>
      <c r="G105" s="48">
        <f>($B$5+SUM($D$7:$D105))</f>
        <v>6781071.5263227541</v>
      </c>
    </row>
    <row r="106" spans="2:7">
      <c r="B106" s="45">
        <f>'Ипотечный калькулятор'!$C$21</f>
        <v>0.29000000000000004</v>
      </c>
      <c r="C106" s="47">
        <v>100</v>
      </c>
      <c r="D106" s="48">
        <f>PPMT($B106/12,1,$C$5-C106+1,$B$5+SUM($D$7:D105),0)</f>
        <v>-5854.6398720215984</v>
      </c>
      <c r="E106" s="48">
        <f>-($B$5+SUM($D$7:$D105))*$B106/12</f>
        <v>-163875.89521946656</v>
      </c>
      <c r="F106" s="48">
        <f t="shared" si="1"/>
        <v>-169730.53509148816</v>
      </c>
      <c r="G106" s="48">
        <f>($B$5+SUM($D$7:$D106))</f>
        <v>6775216.8864507321</v>
      </c>
    </row>
    <row r="107" spans="2:7">
      <c r="B107" s="45">
        <f>'Ипотечный калькулятор'!$C$21</f>
        <v>0.29000000000000004</v>
      </c>
      <c r="C107" s="46">
        <v>101</v>
      </c>
      <c r="D107" s="48">
        <f>PPMT($B107/12,1,$C$5-C107+1,$B$5+SUM($D$7:D106),0)</f>
        <v>-5996.1270022621193</v>
      </c>
      <c r="E107" s="48">
        <f>-($B$5+SUM($D$7:$D106))*$B107/12</f>
        <v>-163734.40808922605</v>
      </c>
      <c r="F107" s="48">
        <f t="shared" si="1"/>
        <v>-169730.53509148819</v>
      </c>
      <c r="G107" s="48">
        <f>($B$5+SUM($D$7:$D107))</f>
        <v>6769220.7594484705</v>
      </c>
    </row>
    <row r="108" spans="2:7">
      <c r="B108" s="45">
        <f>'Ипотечный калькулятор'!$C$21</f>
        <v>0.29000000000000004</v>
      </c>
      <c r="C108" s="47">
        <v>102</v>
      </c>
      <c r="D108" s="48">
        <f>PPMT($B108/12,1,$C$5-C108+1,$B$5+SUM($D$7:D107),0)</f>
        <v>-6141.0334048167879</v>
      </c>
      <c r="E108" s="48">
        <f>-($B$5+SUM($D$7:$D107))*$B108/12</f>
        <v>-163589.5016866714</v>
      </c>
      <c r="F108" s="48">
        <f t="shared" si="1"/>
        <v>-169730.53509148819</v>
      </c>
      <c r="G108" s="48">
        <f>($B$5+SUM($D$7:$D108))</f>
        <v>6763079.7260436537</v>
      </c>
    </row>
    <row r="109" spans="2:7">
      <c r="B109" s="45">
        <f>'Ипотечный калькулятор'!$C$21</f>
        <v>0.29000000000000004</v>
      </c>
      <c r="C109" s="46">
        <v>103</v>
      </c>
      <c r="D109" s="48">
        <f>PPMT($B109/12,1,$C$5-C109+1,$B$5+SUM($D$7:D108),0)</f>
        <v>-6289.4417120998596</v>
      </c>
      <c r="E109" s="48">
        <f>-($B$5+SUM($D$7:$D108))*$B109/12</f>
        <v>-163441.0933793883</v>
      </c>
      <c r="F109" s="48">
        <f t="shared" si="1"/>
        <v>-169730.53509148816</v>
      </c>
      <c r="G109" s="48">
        <f>($B$5+SUM($D$7:$D109))</f>
        <v>6756790.2843315536</v>
      </c>
    </row>
    <row r="110" spans="2:7">
      <c r="B110" s="45">
        <f>'Ипотечный калькулятор'!$C$21</f>
        <v>0.29000000000000004</v>
      </c>
      <c r="C110" s="47">
        <v>104</v>
      </c>
      <c r="D110" s="48">
        <f>PPMT($B110/12,1,$C$5-C110+1,$B$5+SUM($D$7:D109),0)</f>
        <v>-6441.4365534756062</v>
      </c>
      <c r="E110" s="48">
        <f>-($B$5+SUM($D$7:$D109))*$B110/12</f>
        <v>-163289.09853801256</v>
      </c>
      <c r="F110" s="48">
        <f t="shared" si="1"/>
        <v>-169730.53509148816</v>
      </c>
      <c r="G110" s="48">
        <f>($B$5+SUM($D$7:$D110))</f>
        <v>6750348.8477780782</v>
      </c>
    </row>
    <row r="111" spans="2:7">
      <c r="B111" s="45">
        <f>'Ипотечный калькулятор'!$C$21</f>
        <v>0.29000000000000004</v>
      </c>
      <c r="C111" s="46">
        <v>105</v>
      </c>
      <c r="D111" s="48">
        <f>PPMT($B111/12,1,$C$5-C111+1,$B$5+SUM($D$7:D110),0)</f>
        <v>-6597.1046035179343</v>
      </c>
      <c r="E111" s="48">
        <f>-($B$5+SUM($D$7:$D110))*$B111/12</f>
        <v>-163133.43048797024</v>
      </c>
      <c r="F111" s="48">
        <f t="shared" si="1"/>
        <v>-169730.53509148819</v>
      </c>
      <c r="G111" s="48">
        <f>($B$5+SUM($D$7:$D111))</f>
        <v>6743751.7431745604</v>
      </c>
    </row>
    <row r="112" spans="2:7">
      <c r="B112" s="45">
        <f>'Ипотечный калькулятор'!$C$21</f>
        <v>0.29000000000000004</v>
      </c>
      <c r="C112" s="47">
        <v>106</v>
      </c>
      <c r="D112" s="48">
        <f>PPMT($B112/12,1,$C$5-C112+1,$B$5+SUM($D$7:D111),0)</f>
        <v>-6756.5346314362832</v>
      </c>
      <c r="E112" s="48">
        <f>-($B$5+SUM($D$7:$D111))*$B112/12</f>
        <v>-162974.0004600519</v>
      </c>
      <c r="F112" s="48">
        <f t="shared" si="1"/>
        <v>-169730.53509148819</v>
      </c>
      <c r="G112" s="48">
        <f>($B$5+SUM($D$7:$D112))</f>
        <v>6736995.2085431237</v>
      </c>
    </row>
    <row r="113" spans="2:7">
      <c r="B113" s="45">
        <f>'Ипотечный калькулятор'!$C$21</f>
        <v>0.29000000000000004</v>
      </c>
      <c r="C113" s="46">
        <v>107</v>
      </c>
      <c r="D113" s="48">
        <f>PPMT($B113/12,1,$C$5-C113+1,$B$5+SUM($D$7:D112),0)</f>
        <v>-6919.8175516959936</v>
      </c>
      <c r="E113" s="48">
        <f>-($B$5+SUM($D$7:$D112))*$B113/12</f>
        <v>-162810.71753979218</v>
      </c>
      <c r="F113" s="48">
        <f t="shared" si="1"/>
        <v>-169730.53509148819</v>
      </c>
      <c r="G113" s="48">
        <f>($B$5+SUM($D$7:$D113))</f>
        <v>6730075.3909914279</v>
      </c>
    </row>
    <row r="114" spans="2:7">
      <c r="B114" s="45">
        <f>'Ипотечный калькулятор'!$C$21</f>
        <v>0.29000000000000004</v>
      </c>
      <c r="C114" s="47">
        <v>108</v>
      </c>
      <c r="D114" s="48">
        <f>PPMT($B114/12,1,$C$5-C114+1,$B$5+SUM($D$7:D113),0)</f>
        <v>-7087.046475861981</v>
      </c>
      <c r="E114" s="48">
        <f>-($B$5+SUM($D$7:$D113))*$B114/12</f>
        <v>-162643.48861562621</v>
      </c>
      <c r="F114" s="48">
        <f t="shared" si="1"/>
        <v>-169730.53509148819</v>
      </c>
      <c r="G114" s="48">
        <f>($B$5+SUM($D$7:$D114))</f>
        <v>6722988.3445155658</v>
      </c>
    </row>
    <row r="115" spans="2:7">
      <c r="B115" s="45">
        <f>'Ипотечный калькулятор'!$C$21</f>
        <v>0.29000000000000004</v>
      </c>
      <c r="C115" s="46">
        <v>109</v>
      </c>
      <c r="D115" s="48">
        <f>PPMT($B115/12,1,$C$5-C115+1,$B$5+SUM($D$7:D114),0)</f>
        <v>-7258.3167656953128</v>
      </c>
      <c r="E115" s="48">
        <f>-($B$5+SUM($D$7:$D114))*$B115/12</f>
        <v>-162472.21832579284</v>
      </c>
      <c r="F115" s="48">
        <f t="shared" si="1"/>
        <v>-169730.53509148816</v>
      </c>
      <c r="G115" s="48">
        <f>($B$5+SUM($D$7:$D115))</f>
        <v>6715730.02774987</v>
      </c>
    </row>
    <row r="116" spans="2:7">
      <c r="B116" s="45">
        <f>'Ипотечный калькулятор'!$C$21</f>
        <v>0.29000000000000004</v>
      </c>
      <c r="C116" s="47">
        <v>110</v>
      </c>
      <c r="D116" s="48">
        <f>PPMT($B116/12,1,$C$5-C116+1,$B$5+SUM($D$7:D115),0)</f>
        <v>-7433.7260875329484</v>
      </c>
      <c r="E116" s="48">
        <f>-($B$5+SUM($D$7:$D115))*$B116/12</f>
        <v>-162296.80900395522</v>
      </c>
      <c r="F116" s="48">
        <f t="shared" si="1"/>
        <v>-169730.53509148816</v>
      </c>
      <c r="G116" s="48">
        <f>($B$5+SUM($D$7:$D116))</f>
        <v>6708296.301662337</v>
      </c>
    </row>
    <row r="117" spans="2:7">
      <c r="B117" s="45">
        <f>'Ипотечный калькулятор'!$C$21</f>
        <v>0.29000000000000004</v>
      </c>
      <c r="C117" s="46">
        <v>111</v>
      </c>
      <c r="D117" s="48">
        <f>PPMT($B117/12,1,$C$5-C117+1,$B$5+SUM($D$7:D116),0)</f>
        <v>-7613.3744679816609</v>
      </c>
      <c r="E117" s="48">
        <f>-($B$5+SUM($D$7:$D116))*$B117/12</f>
        <v>-162117.1606235065</v>
      </c>
      <c r="F117" s="48">
        <f t="shared" si="1"/>
        <v>-169730.53509148816</v>
      </c>
      <c r="G117" s="48">
        <f>($B$5+SUM($D$7:$D117))</f>
        <v>6700682.927194356</v>
      </c>
    </row>
    <row r="118" spans="2:7">
      <c r="B118" s="45">
        <f>'Ипотечный калькулятор'!$C$21</f>
        <v>0.29000000000000004</v>
      </c>
      <c r="C118" s="47">
        <v>112</v>
      </c>
      <c r="D118" s="48">
        <f>PPMT($B118/12,1,$C$5-C118+1,$B$5+SUM($D$7:D117),0)</f>
        <v>-7797.3643509578851</v>
      </c>
      <c r="E118" s="48">
        <f>-($B$5+SUM($D$7:$D117))*$B118/12</f>
        <v>-161933.17074053027</v>
      </c>
      <c r="F118" s="48">
        <f t="shared" si="1"/>
        <v>-169730.53509148816</v>
      </c>
      <c r="G118" s="48">
        <f>($B$5+SUM($D$7:$D118))</f>
        <v>6692885.5628433982</v>
      </c>
    </row>
    <row r="119" spans="2:7">
      <c r="B119" s="45">
        <f>'Ипотечный калькулятор'!$C$21</f>
        <v>0.29000000000000004</v>
      </c>
      <c r="C119" s="46">
        <v>113</v>
      </c>
      <c r="D119" s="48">
        <f>PPMT($B119/12,1,$C$5-C119+1,$B$5+SUM($D$7:D118),0)</f>
        <v>-7985.8006561060347</v>
      </c>
      <c r="E119" s="48">
        <f>-($B$5+SUM($D$7:$D118))*$B119/12</f>
        <v>-161744.73443538215</v>
      </c>
      <c r="F119" s="48">
        <f t="shared" si="1"/>
        <v>-169730.53509148819</v>
      </c>
      <c r="G119" s="48">
        <f>($B$5+SUM($D$7:$D119))</f>
        <v>6684899.7621872919</v>
      </c>
    </row>
    <row r="120" spans="2:7">
      <c r="B120" s="45">
        <f>'Ипотечный калькулятор'!$C$21</f>
        <v>0.29000000000000004</v>
      </c>
      <c r="C120" s="47">
        <v>114</v>
      </c>
      <c r="D120" s="48">
        <f>PPMT($B120/12,1,$C$5-C120+1,$B$5+SUM($D$7:D119),0)</f>
        <v>-8178.7908386285972</v>
      </c>
      <c r="E120" s="48">
        <f>-($B$5+SUM($D$7:$D119))*$B120/12</f>
        <v>-161551.74425285959</v>
      </c>
      <c r="F120" s="48">
        <f t="shared" si="1"/>
        <v>-169730.53509148819</v>
      </c>
      <c r="G120" s="48">
        <f>($B$5+SUM($D$7:$D120))</f>
        <v>6676720.9713486629</v>
      </c>
    </row>
    <row r="121" spans="2:7">
      <c r="B121" s="45">
        <f>'Ипотечный калькулятор'!$C$21</f>
        <v>0.29000000000000004</v>
      </c>
      <c r="C121" s="46">
        <v>115</v>
      </c>
      <c r="D121" s="48">
        <f>PPMT($B121/12,1,$C$5-C121+1,$B$5+SUM($D$7:D120),0)</f>
        <v>-8376.4449505621214</v>
      </c>
      <c r="E121" s="48">
        <f>-($B$5+SUM($D$7:$D120))*$B121/12</f>
        <v>-161354.09014092604</v>
      </c>
      <c r="F121" s="48">
        <f t="shared" si="1"/>
        <v>-169730.53509148816</v>
      </c>
      <c r="G121" s="48">
        <f>($B$5+SUM($D$7:$D121))</f>
        <v>6668344.5263981009</v>
      </c>
    </row>
    <row r="122" spans="2:7">
      <c r="B122" s="45">
        <f>'Ипотечный калькулятор'!$C$21</f>
        <v>0.29000000000000004</v>
      </c>
      <c r="C122" s="47">
        <v>116</v>
      </c>
      <c r="D122" s="48">
        <f>PPMT($B122/12,1,$C$5-C122+1,$B$5+SUM($D$7:D121),0)</f>
        <v>-8578.8757035340386</v>
      </c>
      <c r="E122" s="48">
        <f>-($B$5+SUM($D$7:$D121))*$B122/12</f>
        <v>-161151.65938795413</v>
      </c>
      <c r="F122" s="48">
        <f t="shared" si="1"/>
        <v>-169730.53509148816</v>
      </c>
      <c r="G122" s="48">
        <f>($B$5+SUM($D$7:$D122))</f>
        <v>6659765.6506945668</v>
      </c>
    </row>
    <row r="123" spans="2:7">
      <c r="B123" s="45">
        <f>'Ипотечный калькулятор'!$C$21</f>
        <v>0.29000000000000004</v>
      </c>
      <c r="C123" s="46">
        <v>117</v>
      </c>
      <c r="D123" s="48">
        <f>PPMT($B123/12,1,$C$5-C123+1,$B$5+SUM($D$7:D122),0)</f>
        <v>-8786.1985330361113</v>
      </c>
      <c r="E123" s="48">
        <f>-($B$5+SUM($D$7:$D122))*$B123/12</f>
        <v>-160944.33655845205</v>
      </c>
      <c r="F123" s="48">
        <f t="shared" si="1"/>
        <v>-169730.53509148816</v>
      </c>
      <c r="G123" s="48">
        <f>($B$5+SUM($D$7:$D123))</f>
        <v>6650979.452161531</v>
      </c>
    </row>
    <row r="124" spans="2:7">
      <c r="B124" s="45">
        <f>'Ипотечный калькулятор'!$C$21</f>
        <v>0.29000000000000004</v>
      </c>
      <c r="C124" s="47">
        <v>118</v>
      </c>
      <c r="D124" s="48">
        <f>PPMT($B124/12,1,$C$5-C124+1,$B$5+SUM($D$7:D123),0)</f>
        <v>-8998.5316642511498</v>
      </c>
      <c r="E124" s="48">
        <f>-($B$5+SUM($D$7:$D123))*$B124/12</f>
        <v>-160732.00342723701</v>
      </c>
      <c r="F124" s="48">
        <f t="shared" si="1"/>
        <v>-169730.53509148816</v>
      </c>
      <c r="G124" s="48">
        <f>($B$5+SUM($D$7:$D124))</f>
        <v>6641980.9204972796</v>
      </c>
    </row>
    <row r="125" spans="2:7">
      <c r="B125" s="45">
        <f>'Ипотечный калькулятор'!$C$21</f>
        <v>0.29000000000000004</v>
      </c>
      <c r="C125" s="46">
        <v>119</v>
      </c>
      <c r="D125" s="48">
        <f>PPMT($B125/12,1,$C$5-C125+1,$B$5+SUM($D$7:D124),0)</f>
        <v>-9215.9961794705541</v>
      </c>
      <c r="E125" s="48">
        <f>-($B$5+SUM($D$7:$D124))*$B125/12</f>
        <v>-160514.53891201763</v>
      </c>
      <c r="F125" s="48">
        <f t="shared" si="1"/>
        <v>-169730.53509148819</v>
      </c>
      <c r="G125" s="48">
        <f>($B$5+SUM($D$7:$D125))</f>
        <v>6632764.9243178088</v>
      </c>
    </row>
    <row r="126" spans="2:7">
      <c r="B126" s="45">
        <f>'Ипотечный калькулятор'!$C$21</f>
        <v>0.29000000000000004</v>
      </c>
      <c r="C126" s="47">
        <v>120</v>
      </c>
      <c r="D126" s="48">
        <f>PPMT($B126/12,1,$C$5-C126+1,$B$5+SUM($D$7:D125),0)</f>
        <v>-9438.7160871410906</v>
      </c>
      <c r="E126" s="48">
        <f>-($B$5+SUM($D$7:$D125))*$B126/12</f>
        <v>-160291.81900434705</v>
      </c>
      <c r="F126" s="48">
        <f t="shared" si="1"/>
        <v>-169730.53509148816</v>
      </c>
      <c r="G126" s="48">
        <f>($B$5+SUM($D$7:$D126))</f>
        <v>6623326.2082306677</v>
      </c>
    </row>
    <row r="127" spans="2:7">
      <c r="B127" s="45">
        <f>'Ипотечный калькулятор'!$C$21</f>
        <v>0.29000000000000004</v>
      </c>
      <c r="C127" s="46">
        <v>121</v>
      </c>
      <c r="D127" s="48">
        <f>PPMT($B127/12,1,$C$5-C127+1,$B$5+SUM($D$7:D126),0)</f>
        <v>-9666.8183925803351</v>
      </c>
      <c r="E127" s="48">
        <f>-($B$5+SUM($D$7:$D126))*$B127/12</f>
        <v>-160063.71669890781</v>
      </c>
      <c r="F127" s="48">
        <f t="shared" si="1"/>
        <v>-169730.53509148816</v>
      </c>
      <c r="G127" s="48">
        <f>($B$5+SUM($D$7:$D127))</f>
        <v>6613659.3898380883</v>
      </c>
    </row>
    <row r="128" spans="2:7">
      <c r="B128" s="45">
        <f>'Ипотечный калькулятор'!$C$21</f>
        <v>0.29000000000000004</v>
      </c>
      <c r="C128" s="47">
        <v>122</v>
      </c>
      <c r="D128" s="48">
        <f>PPMT($B128/12,1,$C$5-C128+1,$B$5+SUM($D$7:D127),0)</f>
        <v>-9900.4331704010274</v>
      </c>
      <c r="E128" s="48">
        <f>-($B$5+SUM($D$7:$D127))*$B128/12</f>
        <v>-159830.10192108716</v>
      </c>
      <c r="F128" s="48">
        <f t="shared" si="1"/>
        <v>-169730.53509148819</v>
      </c>
      <c r="G128" s="48">
        <f>($B$5+SUM($D$7:$D128))</f>
        <v>6603758.9566676868</v>
      </c>
    </row>
    <row r="129" spans="2:7">
      <c r="B129" s="45">
        <f>'Ипотечный калькулятор'!$C$21</f>
        <v>0.29000000000000004</v>
      </c>
      <c r="C129" s="46">
        <v>123</v>
      </c>
      <c r="D129" s="48">
        <f>PPMT($B129/12,1,$C$5-C129+1,$B$5+SUM($D$7:D128),0)</f>
        <v>-10139.693638685718</v>
      </c>
      <c r="E129" s="48">
        <f>-($B$5+SUM($D$7:$D128))*$B129/12</f>
        <v>-159590.84145280244</v>
      </c>
      <c r="F129" s="48">
        <f t="shared" si="1"/>
        <v>-169730.53509148816</v>
      </c>
      <c r="G129" s="48">
        <f>($B$5+SUM($D$7:$D129))</f>
        <v>6593619.2630290007</v>
      </c>
    </row>
    <row r="130" spans="2:7">
      <c r="B130" s="45">
        <f>'Ипотечный калькулятор'!$C$21</f>
        <v>0.29000000000000004</v>
      </c>
      <c r="C130" s="47">
        <v>124</v>
      </c>
      <c r="D130" s="48">
        <f>PPMT($B130/12,1,$C$5-C130+1,$B$5+SUM($D$7:D129),0)</f>
        <v>-10384.736234953954</v>
      </c>
      <c r="E130" s="48">
        <f>-($B$5+SUM($D$7:$D129))*$B130/12</f>
        <v>-159345.79885653421</v>
      </c>
      <c r="F130" s="48">
        <f t="shared" si="1"/>
        <v>-169730.53509148816</v>
      </c>
      <c r="G130" s="48">
        <f>($B$5+SUM($D$7:$D130))</f>
        <v>6583234.5267940471</v>
      </c>
    </row>
    <row r="131" spans="2:7">
      <c r="B131" s="45">
        <f>'Ипотечный калькулятор'!$C$21</f>
        <v>0.29000000000000004</v>
      </c>
      <c r="C131" s="46">
        <v>125</v>
      </c>
      <c r="D131" s="48">
        <f>PPMT($B131/12,1,$C$5-C131+1,$B$5+SUM($D$7:D130),0)</f>
        <v>-10635.700693965342</v>
      </c>
      <c r="E131" s="48">
        <f>-($B$5+SUM($D$7:$D130))*$B131/12</f>
        <v>-159094.83439752282</v>
      </c>
      <c r="F131" s="48">
        <f t="shared" si="1"/>
        <v>-169730.53509148816</v>
      </c>
      <c r="G131" s="48">
        <f>($B$5+SUM($D$7:$D131))</f>
        <v>6572598.8261000821</v>
      </c>
    </row>
    <row r="132" spans="2:7">
      <c r="B132" s="45">
        <f>'Ипотечный калькулятор'!$C$21</f>
        <v>0.29000000000000004</v>
      </c>
      <c r="C132" s="47">
        <v>126</v>
      </c>
      <c r="D132" s="48">
        <f>PPMT($B132/12,1,$C$5-C132+1,$B$5+SUM($D$7:D131),0)</f>
        <v>-10892.730127402838</v>
      </c>
      <c r="E132" s="48">
        <f>-($B$5+SUM($D$7:$D131))*$B132/12</f>
        <v>-158837.80496408534</v>
      </c>
      <c r="F132" s="48">
        <f t="shared" si="1"/>
        <v>-169730.53509148819</v>
      </c>
      <c r="G132" s="48">
        <f>($B$5+SUM($D$7:$D132))</f>
        <v>6561706.0959726786</v>
      </c>
    </row>
    <row r="133" spans="2:7">
      <c r="B133" s="45">
        <f>'Ипотечный калькулятор'!$C$21</f>
        <v>0.29000000000000004</v>
      </c>
      <c r="C133" s="46">
        <v>127</v>
      </c>
      <c r="D133" s="48">
        <f>PPMT($B133/12,1,$C$5-C133+1,$B$5+SUM($D$7:D132),0)</f>
        <v>-11155.971105481744</v>
      </c>
      <c r="E133" s="48">
        <f>-($B$5+SUM($D$7:$D132))*$B133/12</f>
        <v>-158574.56398600643</v>
      </c>
      <c r="F133" s="48">
        <f t="shared" si="1"/>
        <v>-169730.53509148816</v>
      </c>
      <c r="G133" s="48">
        <f>($B$5+SUM($D$7:$D133))</f>
        <v>6550550.1248671971</v>
      </c>
    </row>
    <row r="134" spans="2:7">
      <c r="B134" s="45">
        <f>'Ипотечный калькулятор'!$C$21</f>
        <v>0.29000000000000004</v>
      </c>
      <c r="C134" s="47">
        <v>128</v>
      </c>
      <c r="D134" s="48">
        <f>PPMT($B134/12,1,$C$5-C134+1,$B$5+SUM($D$7:D133),0)</f>
        <v>-11425.573740530883</v>
      </c>
      <c r="E134" s="48">
        <f>-($B$5+SUM($D$7:$D133))*$B134/12</f>
        <v>-158304.96135095728</v>
      </c>
      <c r="F134" s="48">
        <f t="shared" si="1"/>
        <v>-169730.53509148816</v>
      </c>
      <c r="G134" s="48">
        <f>($B$5+SUM($D$7:$D134))</f>
        <v>6539124.5511266664</v>
      </c>
    </row>
    <row r="135" spans="2:7">
      <c r="B135" s="45">
        <f>'Ипотечный калькулятор'!$C$21</f>
        <v>0.29000000000000004</v>
      </c>
      <c r="C135" s="46">
        <v>129</v>
      </c>
      <c r="D135" s="48">
        <f>PPMT($B135/12,1,$C$5-C135+1,$B$5+SUM($D$7:D134),0)</f>
        <v>-11701.691772593715</v>
      </c>
      <c r="E135" s="48">
        <f>-($B$5+SUM($D$7:$D134))*$B135/12</f>
        <v>-158028.84331889445</v>
      </c>
      <c r="F135" s="48">
        <f t="shared" ref="F135:F198" si="2">SUM(D135:E135)</f>
        <v>-169730.53509148816</v>
      </c>
      <c r="G135" s="48">
        <f>($B$5+SUM($D$7:$D135))</f>
        <v>6527422.8593540723</v>
      </c>
    </row>
    <row r="136" spans="2:7">
      <c r="B136" s="45">
        <f>'Ипотечный калькулятор'!$C$21</f>
        <v>0.29000000000000004</v>
      </c>
      <c r="C136" s="47">
        <v>130</v>
      </c>
      <c r="D136" s="48">
        <f>PPMT($B136/12,1,$C$5-C136+1,$B$5+SUM($D$7:D135),0)</f>
        <v>-11984.482657098062</v>
      </c>
      <c r="E136" s="48">
        <f>-($B$5+SUM($D$7:$D135))*$B136/12</f>
        <v>-157746.05243439009</v>
      </c>
      <c r="F136" s="48">
        <f t="shared" si="2"/>
        <v>-169730.53509148816</v>
      </c>
      <c r="G136" s="48">
        <f>($B$5+SUM($D$7:$D136))</f>
        <v>6515438.376696975</v>
      </c>
    </row>
    <row r="137" spans="2:7">
      <c r="B137" s="45">
        <f>'Ипотечный калькулятор'!$C$21</f>
        <v>0.29000000000000004</v>
      </c>
      <c r="C137" s="46">
        <v>131</v>
      </c>
      <c r="D137" s="48">
        <f>PPMT($B137/12,1,$C$5-C137+1,$B$5+SUM($D$7:D136),0)</f>
        <v>-12274.1076546446</v>
      </c>
      <c r="E137" s="48">
        <f>-($B$5+SUM($D$7:$D136))*$B137/12</f>
        <v>-157456.42743684357</v>
      </c>
      <c r="F137" s="48">
        <f t="shared" si="2"/>
        <v>-169730.53509148819</v>
      </c>
      <c r="G137" s="48">
        <f>($B$5+SUM($D$7:$D137))</f>
        <v>6503164.2690423299</v>
      </c>
    </row>
    <row r="138" spans="2:7">
      <c r="B138" s="45">
        <f>'Ипотечный калькулятор'!$C$21</f>
        <v>0.29000000000000004</v>
      </c>
      <c r="C138" s="47">
        <v>132</v>
      </c>
      <c r="D138" s="48">
        <f>PPMT($B138/12,1,$C$5-C138+1,$B$5+SUM($D$7:D137),0)</f>
        <v>-12570.731922965175</v>
      </c>
      <c r="E138" s="48">
        <f>-($B$5+SUM($D$7:$D137))*$B138/12</f>
        <v>-157159.80316852298</v>
      </c>
      <c r="F138" s="48">
        <f t="shared" si="2"/>
        <v>-169730.53509148816</v>
      </c>
      <c r="G138" s="48">
        <f>($B$5+SUM($D$7:$D138))</f>
        <v>6490593.5371193644</v>
      </c>
    </row>
    <row r="139" spans="2:7">
      <c r="B139" s="45">
        <f>'Ипотечный калькулятор'!$C$21</f>
        <v>0.29000000000000004</v>
      </c>
      <c r="C139" s="46">
        <v>133</v>
      </c>
      <c r="D139" s="48">
        <f>PPMT($B139/12,1,$C$5-C139+1,$B$5+SUM($D$7:D138),0)</f>
        <v>-12874.524611103499</v>
      </c>
      <c r="E139" s="48">
        <f>-($B$5+SUM($D$7:$D138))*$B139/12</f>
        <v>-156856.01048038466</v>
      </c>
      <c r="F139" s="48">
        <f t="shared" si="2"/>
        <v>-169730.53509148816</v>
      </c>
      <c r="G139" s="48">
        <f>($B$5+SUM($D$7:$D139))</f>
        <v>6477719.012508261</v>
      </c>
    </row>
    <row r="140" spans="2:7">
      <c r="B140" s="45">
        <f>'Ипотечный калькулятор'!$C$21</f>
        <v>0.29000000000000004</v>
      </c>
      <c r="C140" s="47">
        <v>134</v>
      </c>
      <c r="D140" s="48">
        <f>PPMT($B140/12,1,$C$5-C140+1,$B$5+SUM($D$7:D139),0)</f>
        <v>-13185.658955871839</v>
      </c>
      <c r="E140" s="48">
        <f>-($B$5+SUM($D$7:$D139))*$B140/12</f>
        <v>-156544.87613561633</v>
      </c>
      <c r="F140" s="48">
        <f t="shared" si="2"/>
        <v>-169730.53509148816</v>
      </c>
      <c r="G140" s="48">
        <f>($B$5+SUM($D$7:$D140))</f>
        <v>6464533.3535523899</v>
      </c>
    </row>
    <row r="141" spans="2:7">
      <c r="B141" s="45">
        <f>'Ипотечный калькулятор'!$C$21</f>
        <v>0.29000000000000004</v>
      </c>
      <c r="C141" s="46">
        <v>135</v>
      </c>
      <c r="D141" s="48">
        <f>PPMT($B141/12,1,$C$5-C141+1,$B$5+SUM($D$7:D140),0)</f>
        <v>-13504.312380638738</v>
      </c>
      <c r="E141" s="48">
        <f>-($B$5+SUM($D$7:$D140))*$B141/12</f>
        <v>-156226.22271084946</v>
      </c>
      <c r="F141" s="48">
        <f t="shared" si="2"/>
        <v>-169730.53509148819</v>
      </c>
      <c r="G141" s="48">
        <f>($B$5+SUM($D$7:$D141))</f>
        <v>6451029.041171751</v>
      </c>
    </row>
    <row r="142" spans="2:7">
      <c r="B142" s="45">
        <f>'Ипотечный калькулятор'!$C$21</f>
        <v>0.29000000000000004</v>
      </c>
      <c r="C142" s="47">
        <v>136</v>
      </c>
      <c r="D142" s="48">
        <f>PPMT($B142/12,1,$C$5-C142+1,$B$5+SUM($D$7:D141),0)</f>
        <v>-13830.666596504176</v>
      </c>
      <c r="E142" s="48">
        <f>-($B$5+SUM($D$7:$D141))*$B142/12</f>
        <v>-155899.868494984</v>
      </c>
      <c r="F142" s="48">
        <f t="shared" si="2"/>
        <v>-169730.53509148816</v>
      </c>
      <c r="G142" s="48">
        <f>($B$5+SUM($D$7:$D142))</f>
        <v>6437198.3745752461</v>
      </c>
    </row>
    <row r="143" spans="2:7">
      <c r="B143" s="45">
        <f>'Ипотечный калькулятор'!$C$21</f>
        <v>0.29000000000000004</v>
      </c>
      <c r="C143" s="46">
        <v>137</v>
      </c>
      <c r="D143" s="48">
        <f>PPMT($B143/12,1,$C$5-C143+1,$B$5+SUM($D$7:D142),0)</f>
        <v>-14164.907705919692</v>
      </c>
      <c r="E143" s="48">
        <f>-($B$5+SUM($D$7:$D142))*$B143/12</f>
        <v>-155565.62738556848</v>
      </c>
      <c r="F143" s="48">
        <f t="shared" si="2"/>
        <v>-169730.53509148819</v>
      </c>
      <c r="G143" s="48">
        <f>($B$5+SUM($D$7:$D143))</f>
        <v>6423033.4668693263</v>
      </c>
    </row>
    <row r="144" spans="2:7">
      <c r="B144" s="45">
        <f>'Ипотечный калькулятор'!$C$21</f>
        <v>0.29000000000000004</v>
      </c>
      <c r="C144" s="47">
        <v>138</v>
      </c>
      <c r="D144" s="48">
        <f>PPMT($B144/12,1,$C$5-C144+1,$B$5+SUM($D$7:D143),0)</f>
        <v>-14507.226308812749</v>
      </c>
      <c r="E144" s="48">
        <f>-($B$5+SUM($D$7:$D143))*$B144/12</f>
        <v>-155223.30878267539</v>
      </c>
      <c r="F144" s="48">
        <f t="shared" si="2"/>
        <v>-169730.53509148813</v>
      </c>
      <c r="G144" s="48">
        <f>($B$5+SUM($D$7:$D144))</f>
        <v>6408526.2405605139</v>
      </c>
    </row>
    <row r="145" spans="2:7">
      <c r="B145" s="45">
        <f>'Ипотечный калькулятор'!$C$21</f>
        <v>0.29000000000000004</v>
      </c>
      <c r="C145" s="46">
        <v>139</v>
      </c>
      <c r="D145" s="48">
        <f>PPMT($B145/12,1,$C$5-C145+1,$B$5+SUM($D$7:D144),0)</f>
        <v>-14857.817611275726</v>
      </c>
      <c r="E145" s="48">
        <f>-($B$5+SUM($D$7:$D144))*$B145/12</f>
        <v>-154872.71748021242</v>
      </c>
      <c r="F145" s="48">
        <f t="shared" si="2"/>
        <v>-169730.53509148816</v>
      </c>
      <c r="G145" s="48">
        <f>($B$5+SUM($D$7:$D145))</f>
        <v>6393668.4229492387</v>
      </c>
    </row>
    <row r="146" spans="2:7">
      <c r="B146" s="45">
        <f>'Ипотечный калькулятор'!$C$21</f>
        <v>0.29000000000000004</v>
      </c>
      <c r="C146" s="47">
        <v>140</v>
      </c>
      <c r="D146" s="48">
        <f>PPMT($B146/12,1,$C$5-C146+1,$B$5+SUM($D$7:D145),0)</f>
        <v>-15216.881536881559</v>
      </c>
      <c r="E146" s="48">
        <f>-($B$5+SUM($D$7:$D145))*$B146/12</f>
        <v>-154513.65355460663</v>
      </c>
      <c r="F146" s="48">
        <f t="shared" si="2"/>
        <v>-169730.53509148819</v>
      </c>
      <c r="G146" s="48">
        <f>($B$5+SUM($D$7:$D146))</f>
        <v>6378451.5414123572</v>
      </c>
    </row>
    <row r="147" spans="2:7">
      <c r="B147" s="45">
        <f>'Ипотечный калькулятор'!$C$21</f>
        <v>0.29000000000000004</v>
      </c>
      <c r="C147" s="46">
        <v>141</v>
      </c>
      <c r="D147" s="48">
        <f>PPMT($B147/12,1,$C$5-C147+1,$B$5+SUM($D$7:D146),0)</f>
        <v>-15584.622840689526</v>
      </c>
      <c r="E147" s="48">
        <f>-($B$5+SUM($D$7:$D146))*$B147/12</f>
        <v>-154145.91225079866</v>
      </c>
      <c r="F147" s="48">
        <f t="shared" si="2"/>
        <v>-169730.53509148819</v>
      </c>
      <c r="G147" s="48">
        <f>($B$5+SUM($D$7:$D147))</f>
        <v>6362866.9185716677</v>
      </c>
    </row>
    <row r="148" spans="2:7">
      <c r="B148" s="45">
        <f>'Ипотечный калькулятор'!$C$21</f>
        <v>0.29000000000000004</v>
      </c>
      <c r="C148" s="47">
        <v>142</v>
      </c>
      <c r="D148" s="48">
        <f>PPMT($B148/12,1,$C$5-C148+1,$B$5+SUM($D$7:D147),0)</f>
        <v>-15961.251226006192</v>
      </c>
      <c r="E148" s="48">
        <f>-($B$5+SUM($D$7:$D147))*$B148/12</f>
        <v>-153769.28386548199</v>
      </c>
      <c r="F148" s="48">
        <f t="shared" si="2"/>
        <v>-169730.53509148819</v>
      </c>
      <c r="G148" s="48">
        <f>($B$5+SUM($D$7:$D148))</f>
        <v>6346905.6673456607</v>
      </c>
    </row>
    <row r="149" spans="2:7">
      <c r="B149" s="45">
        <f>'Ипотечный калькулятор'!$C$21</f>
        <v>0.29000000000000004</v>
      </c>
      <c r="C149" s="46">
        <v>143</v>
      </c>
      <c r="D149" s="48">
        <f>PPMT($B149/12,1,$C$5-C149+1,$B$5+SUM($D$7:D148),0)</f>
        <v>-16346.981463968006</v>
      </c>
      <c r="E149" s="48">
        <f>-($B$5+SUM($D$7:$D148))*$B149/12</f>
        <v>-153383.55362752016</v>
      </c>
      <c r="F149" s="48">
        <f t="shared" si="2"/>
        <v>-169730.53509148816</v>
      </c>
      <c r="G149" s="48">
        <f>($B$5+SUM($D$7:$D149))</f>
        <v>6330558.6858816929</v>
      </c>
    </row>
    <row r="150" spans="2:7">
      <c r="B150" s="45">
        <f>'Ипотечный калькулятор'!$C$21</f>
        <v>0.29000000000000004</v>
      </c>
      <c r="C150" s="47">
        <v>144</v>
      </c>
      <c r="D150" s="48">
        <f>PPMT($B150/12,1,$C$5-C150+1,$B$5+SUM($D$7:D149),0)</f>
        <v>-16742.0335160139</v>
      </c>
      <c r="E150" s="48">
        <f>-($B$5+SUM($D$7:$D149))*$B150/12</f>
        <v>-152988.50157547425</v>
      </c>
      <c r="F150" s="48">
        <f t="shared" si="2"/>
        <v>-169730.53509148816</v>
      </c>
      <c r="G150" s="48">
        <f>($B$5+SUM($D$7:$D150))</f>
        <v>6313816.6523656789</v>
      </c>
    </row>
    <row r="151" spans="2:7">
      <c r="B151" s="45">
        <f>'Ипотечный калькулятор'!$C$21</f>
        <v>0.29000000000000004</v>
      </c>
      <c r="C151" s="46">
        <v>145</v>
      </c>
      <c r="D151" s="48">
        <f>PPMT($B151/12,1,$C$5-C151+1,$B$5+SUM($D$7:D150),0)</f>
        <v>-17146.632659317569</v>
      </c>
      <c r="E151" s="48">
        <f>-($B$5+SUM($D$7:$D150))*$B151/12</f>
        <v>-152583.90243217061</v>
      </c>
      <c r="F151" s="48">
        <f t="shared" si="2"/>
        <v>-169730.53509148819</v>
      </c>
      <c r="G151" s="48">
        <f>($B$5+SUM($D$7:$D151))</f>
        <v>6296670.0197063619</v>
      </c>
    </row>
    <row r="152" spans="2:7">
      <c r="B152" s="45">
        <f>'Ипотечный калькулятор'!$C$21</f>
        <v>0.29000000000000004</v>
      </c>
      <c r="C152" s="47">
        <v>146</v>
      </c>
      <c r="D152" s="48">
        <f>PPMT($B152/12,1,$C$5-C152+1,$B$5+SUM($D$7:D151),0)</f>
        <v>-17561.009615251081</v>
      </c>
      <c r="E152" s="48">
        <f>-($B$5+SUM($D$7:$D151))*$B152/12</f>
        <v>-152169.52547623709</v>
      </c>
      <c r="F152" s="48">
        <f t="shared" si="2"/>
        <v>-169730.53509148816</v>
      </c>
      <c r="G152" s="48">
        <f>($B$5+SUM($D$7:$D152))</f>
        <v>6279109.0100911101</v>
      </c>
    </row>
    <row r="153" spans="2:7">
      <c r="B153" s="45">
        <f>'Ипотечный калькулятор'!$C$21</f>
        <v>0.29000000000000004</v>
      </c>
      <c r="C153" s="46">
        <v>147</v>
      </c>
      <c r="D153" s="48">
        <f>PPMT($B153/12,1,$C$5-C153+1,$B$5+SUM($D$7:D152),0)</f>
        <v>-17985.400680952978</v>
      </c>
      <c r="E153" s="48">
        <f>-($B$5+SUM($D$7:$D152))*$B153/12</f>
        <v>-151745.13441053519</v>
      </c>
      <c r="F153" s="48">
        <f t="shared" si="2"/>
        <v>-169730.53509148816</v>
      </c>
      <c r="G153" s="48">
        <f>($B$5+SUM($D$7:$D153))</f>
        <v>6261123.6094101574</v>
      </c>
    </row>
    <row r="154" spans="2:7">
      <c r="B154" s="45">
        <f>'Ипотечный калькулятор'!$C$21</f>
        <v>0.29000000000000004</v>
      </c>
      <c r="C154" s="47">
        <v>148</v>
      </c>
      <c r="D154" s="48">
        <f>PPMT($B154/12,1,$C$5-C154+1,$B$5+SUM($D$7:D153),0)</f>
        <v>-18420.047864076008</v>
      </c>
      <c r="E154" s="48">
        <f>-($B$5+SUM($D$7:$D153))*$B154/12</f>
        <v>-151310.48722741214</v>
      </c>
      <c r="F154" s="48">
        <f t="shared" si="2"/>
        <v>-169730.53509148816</v>
      </c>
      <c r="G154" s="48">
        <f>($B$5+SUM($D$7:$D154))</f>
        <v>6242703.5615460817</v>
      </c>
    </row>
    <row r="155" spans="2:7">
      <c r="B155" s="45">
        <f>'Ипотечный калькулятор'!$C$21</f>
        <v>0.29000000000000004</v>
      </c>
      <c r="C155" s="46">
        <v>149</v>
      </c>
      <c r="D155" s="48">
        <f>PPMT($B155/12,1,$C$5-C155+1,$B$5+SUM($D$7:D154),0)</f>
        <v>-18865.19902079118</v>
      </c>
      <c r="E155" s="48">
        <f>-($B$5+SUM($D$7:$D154))*$B155/12</f>
        <v>-150865.336070697</v>
      </c>
      <c r="F155" s="48">
        <f t="shared" si="2"/>
        <v>-169730.53509148819</v>
      </c>
      <c r="G155" s="48">
        <f>($B$5+SUM($D$7:$D155))</f>
        <v>6223838.3625252899</v>
      </c>
    </row>
    <row r="156" spans="2:7">
      <c r="B156" s="45">
        <f>'Ипотечный калькулятор'!$C$21</f>
        <v>0.29000000000000004</v>
      </c>
      <c r="C156" s="47">
        <v>150</v>
      </c>
      <c r="D156" s="48">
        <f>PPMT($B156/12,1,$C$5-C156+1,$B$5+SUM($D$7:D155),0)</f>
        <v>-19321.107997126965</v>
      </c>
      <c r="E156" s="48">
        <f>-($B$5+SUM($D$7:$D155))*$B156/12</f>
        <v>-150409.42709436119</v>
      </c>
      <c r="F156" s="48">
        <f t="shared" si="2"/>
        <v>-169730.53509148816</v>
      </c>
      <c r="G156" s="48">
        <f>($B$5+SUM($D$7:$D156))</f>
        <v>6204517.254528163</v>
      </c>
    </row>
    <row r="157" spans="2:7">
      <c r="B157" s="45">
        <f>'Ипотечный калькулятор'!$C$21</f>
        <v>0.29000000000000004</v>
      </c>
      <c r="C157" s="46">
        <v>151</v>
      </c>
      <c r="D157" s="48">
        <f>PPMT($B157/12,1,$C$5-C157+1,$B$5+SUM($D$7:D156),0)</f>
        <v>-19788.034773724201</v>
      </c>
      <c r="E157" s="48">
        <f>-($B$5+SUM($D$7:$D156))*$B157/12</f>
        <v>-149942.50031776397</v>
      </c>
      <c r="F157" s="48">
        <f t="shared" si="2"/>
        <v>-169730.53509148819</v>
      </c>
      <c r="G157" s="48">
        <f>($B$5+SUM($D$7:$D157))</f>
        <v>6184729.2197544388</v>
      </c>
    </row>
    <row r="158" spans="2:7">
      <c r="B158" s="45">
        <f>'Ипотечный калькулятор'!$C$21</f>
        <v>0.29000000000000004</v>
      </c>
      <c r="C158" s="47">
        <v>152</v>
      </c>
      <c r="D158" s="48">
        <f>PPMT($B158/12,1,$C$5-C158+1,$B$5+SUM($D$7:D157),0)</f>
        <v>-20266.245614089199</v>
      </c>
      <c r="E158" s="48">
        <f>-($B$5+SUM($D$7:$D157))*$B158/12</f>
        <v>-149464.28947739894</v>
      </c>
      <c r="F158" s="48">
        <f t="shared" si="2"/>
        <v>-169730.53509148813</v>
      </c>
      <c r="G158" s="48">
        <f>($B$5+SUM($D$7:$D158))</f>
        <v>6164462.9741403498</v>
      </c>
    </row>
    <row r="159" spans="2:7">
      <c r="B159" s="45">
        <f>'Ипотечный калькулятор'!$C$21</f>
        <v>0.29000000000000004</v>
      </c>
      <c r="C159" s="46">
        <v>153</v>
      </c>
      <c r="D159" s="48">
        <f>PPMT($B159/12,1,$C$5-C159+1,$B$5+SUM($D$7:D158),0)</f>
        <v>-20756.013216429696</v>
      </c>
      <c r="E159" s="48">
        <f>-($B$5+SUM($D$7:$D158))*$B159/12</f>
        <v>-148974.52187505848</v>
      </c>
      <c r="F159" s="48">
        <f t="shared" si="2"/>
        <v>-169730.53509148816</v>
      </c>
      <c r="G159" s="48">
        <f>($B$5+SUM($D$7:$D159))</f>
        <v>6143706.9609239204</v>
      </c>
    </row>
    <row r="160" spans="2:7">
      <c r="B160" s="45">
        <f>'Ипотечный калькулятор'!$C$21</f>
        <v>0.29000000000000004</v>
      </c>
      <c r="C160" s="47">
        <v>154</v>
      </c>
      <c r="D160" s="48">
        <f>PPMT($B160/12,1,$C$5-C160+1,$B$5+SUM($D$7:D159),0)</f>
        <v>-21257.616869160076</v>
      </c>
      <c r="E160" s="48">
        <f>-($B$5+SUM($D$7:$D159))*$B160/12</f>
        <v>-148472.91822232809</v>
      </c>
      <c r="F160" s="48">
        <f t="shared" si="2"/>
        <v>-169730.53509148816</v>
      </c>
      <c r="G160" s="48">
        <f>($B$5+SUM($D$7:$D160))</f>
        <v>6122449.3440547604</v>
      </c>
    </row>
    <row r="161" spans="2:7">
      <c r="B161" s="45">
        <f>'Ипотечный калькулятор'!$C$21</f>
        <v>0.29000000000000004</v>
      </c>
      <c r="C161" s="46">
        <v>155</v>
      </c>
      <c r="D161" s="48">
        <f>PPMT($B161/12,1,$C$5-C161+1,$B$5+SUM($D$7:D160),0)</f>
        <v>-21771.342610164782</v>
      </c>
      <c r="E161" s="48">
        <f>-($B$5+SUM($D$7:$D160))*$B161/12</f>
        <v>-147959.19248132341</v>
      </c>
      <c r="F161" s="48">
        <f t="shared" si="2"/>
        <v>-169730.53509148819</v>
      </c>
      <c r="G161" s="48">
        <f>($B$5+SUM($D$7:$D161))</f>
        <v>6100678.0014445949</v>
      </c>
    </row>
    <row r="162" spans="2:7">
      <c r="B162" s="45">
        <f>'Ипотечный калькулятор'!$C$21</f>
        <v>0.29000000000000004</v>
      </c>
      <c r="C162" s="47">
        <v>156</v>
      </c>
      <c r="D162" s="48">
        <f>PPMT($B162/12,1,$C$5-C162+1,$B$5+SUM($D$7:D161),0)</f>
        <v>-22297.483389910423</v>
      </c>
      <c r="E162" s="48">
        <f>-($B$5+SUM($D$7:$D161))*$B162/12</f>
        <v>-147433.05170157773</v>
      </c>
      <c r="F162" s="48">
        <f t="shared" si="2"/>
        <v>-169730.53509148816</v>
      </c>
      <c r="G162" s="48">
        <f>($B$5+SUM($D$7:$D162))</f>
        <v>6078380.5180546846</v>
      </c>
    </row>
    <row r="163" spans="2:7">
      <c r="B163" s="45">
        <f>'Ипотечный калькулятор'!$C$21</f>
        <v>0.29000000000000004</v>
      </c>
      <c r="C163" s="46">
        <v>157</v>
      </c>
      <c r="D163" s="48">
        <f>PPMT($B163/12,1,$C$5-C163+1,$B$5+SUM($D$7:D162),0)</f>
        <v>-22836.339238499932</v>
      </c>
      <c r="E163" s="48">
        <f>-($B$5+SUM($D$7:$D162))*$B163/12</f>
        <v>-146894.19585298822</v>
      </c>
      <c r="F163" s="48">
        <f t="shared" si="2"/>
        <v>-169730.53509148816</v>
      </c>
      <c r="G163" s="48">
        <f>($B$5+SUM($D$7:$D163))</f>
        <v>6055544.1788161853</v>
      </c>
    </row>
    <row r="164" spans="2:7">
      <c r="B164" s="45">
        <f>'Ипотечный калькулятор'!$C$21</f>
        <v>0.29000000000000004</v>
      </c>
      <c r="C164" s="47">
        <v>158</v>
      </c>
      <c r="D164" s="48">
        <f>PPMT($B164/12,1,$C$5-C164+1,$B$5+SUM($D$7:D163),0)</f>
        <v>-23388.217436763684</v>
      </c>
      <c r="E164" s="48">
        <f>-($B$5+SUM($D$7:$D163))*$B164/12</f>
        <v>-146342.31765472449</v>
      </c>
      <c r="F164" s="48">
        <f t="shared" si="2"/>
        <v>-169730.53509148819</v>
      </c>
      <c r="G164" s="48">
        <f>($B$5+SUM($D$7:$D164))</f>
        <v>6032155.9613794219</v>
      </c>
    </row>
    <row r="165" spans="2:7">
      <c r="B165" s="45">
        <f>'Ипотечный калькулятор'!$C$21</f>
        <v>0.29000000000000004</v>
      </c>
      <c r="C165" s="46">
        <v>159</v>
      </c>
      <c r="D165" s="48">
        <f>PPMT($B165/12,1,$C$5-C165+1,$B$5+SUM($D$7:D164),0)</f>
        <v>-23953.432691485468</v>
      </c>
      <c r="E165" s="48">
        <f>-($B$5+SUM($D$7:$D164))*$B165/12</f>
        <v>-145777.10240000271</v>
      </c>
      <c r="F165" s="48">
        <f t="shared" si="2"/>
        <v>-169730.53509148819</v>
      </c>
      <c r="G165" s="48">
        <f>($B$5+SUM($D$7:$D165))</f>
        <v>6008202.5286879363</v>
      </c>
    </row>
    <row r="166" spans="2:7">
      <c r="B166" s="45">
        <f>'Ипотечный калькулятор'!$C$21</f>
        <v>0.29000000000000004</v>
      </c>
      <c r="C166" s="47">
        <v>160</v>
      </c>
      <c r="D166" s="48">
        <f>PPMT($B166/12,1,$C$5-C166+1,$B$5+SUM($D$7:D165),0)</f>
        <v>-24532.307314863036</v>
      </c>
      <c r="E166" s="48">
        <f>-($B$5+SUM($D$7:$D165))*$B166/12</f>
        <v>-145198.22777662514</v>
      </c>
      <c r="F166" s="48">
        <f t="shared" si="2"/>
        <v>-169730.53509148816</v>
      </c>
      <c r="G166" s="48">
        <f>($B$5+SUM($D$7:$D166))</f>
        <v>5983670.2213730728</v>
      </c>
    </row>
    <row r="167" spans="2:7">
      <c r="B167" s="45">
        <f>'Ипотечный калькулятор'!$C$21</f>
        <v>0.29000000000000004</v>
      </c>
      <c r="C167" s="46">
        <v>161</v>
      </c>
      <c r="D167" s="48">
        <f>PPMT($B167/12,1,$C$5-C167+1,$B$5+SUM($D$7:D166),0)</f>
        <v>-25125.171408305552</v>
      </c>
      <c r="E167" s="48">
        <f>-($B$5+SUM($D$7:$D166))*$B167/12</f>
        <v>-144605.3636831826</v>
      </c>
      <c r="F167" s="48">
        <f t="shared" si="2"/>
        <v>-169730.53509148816</v>
      </c>
      <c r="G167" s="48">
        <f>($B$5+SUM($D$7:$D167))</f>
        <v>5958545.0499647669</v>
      </c>
    </row>
    <row r="168" spans="2:7">
      <c r="B168" s="45">
        <f>'Ипотечный калькулятор'!$C$21</f>
        <v>0.29000000000000004</v>
      </c>
      <c r="C168" s="47">
        <v>162</v>
      </c>
      <c r="D168" s="48">
        <f>PPMT($B168/12,1,$C$5-C168+1,$B$5+SUM($D$7:D167),0)</f>
        <v>-25732.363050672939</v>
      </c>
      <c r="E168" s="48">
        <f>-($B$5+SUM($D$7:$D167))*$B168/12</f>
        <v>-143998.1720408152</v>
      </c>
      <c r="F168" s="48">
        <f t="shared" si="2"/>
        <v>-169730.53509148816</v>
      </c>
      <c r="G168" s="48">
        <f>($B$5+SUM($D$7:$D168))</f>
        <v>5932812.6869140938</v>
      </c>
    </row>
    <row r="169" spans="2:7">
      <c r="B169" s="45">
        <f>'Ипотечный калькулятор'!$C$21</f>
        <v>0.29000000000000004</v>
      </c>
      <c r="C169" s="46">
        <v>163</v>
      </c>
      <c r="D169" s="48">
        <f>PPMT($B169/12,1,$C$5-C169+1,$B$5+SUM($D$7:D168),0)</f>
        <v>-26354.228491064201</v>
      </c>
      <c r="E169" s="48">
        <f>-($B$5+SUM($D$7:$D168))*$B169/12</f>
        <v>-143376.30660042397</v>
      </c>
      <c r="F169" s="48">
        <f t="shared" si="2"/>
        <v>-169730.53509148816</v>
      </c>
      <c r="G169" s="48">
        <f>($B$5+SUM($D$7:$D169))</f>
        <v>5906458.4584230296</v>
      </c>
    </row>
    <row r="170" spans="2:7">
      <c r="B170" s="45">
        <f>'Ипотечный калькулятор'!$C$21</f>
        <v>0.29000000000000004</v>
      </c>
      <c r="C170" s="47">
        <v>164</v>
      </c>
      <c r="D170" s="48">
        <f>PPMT($B170/12,1,$C$5-C170+1,$B$5+SUM($D$7:D169),0)</f>
        <v>-26991.122346264918</v>
      </c>
      <c r="E170" s="48">
        <f>-($B$5+SUM($D$7:$D169))*$B170/12</f>
        <v>-142739.41274522324</v>
      </c>
      <c r="F170" s="48">
        <f t="shared" si="2"/>
        <v>-169730.53509148816</v>
      </c>
      <c r="G170" s="48">
        <f>($B$5+SUM($D$7:$D170))</f>
        <v>5879467.3360767653</v>
      </c>
    </row>
    <row r="171" spans="2:7">
      <c r="B171" s="45">
        <f>'Ипотечный калькулятор'!$C$21</f>
        <v>0.29000000000000004</v>
      </c>
      <c r="C171" s="46">
        <v>165</v>
      </c>
      <c r="D171" s="48">
        <f>PPMT($B171/12,1,$C$5-C171+1,$B$5+SUM($D$7:D170),0)</f>
        <v>-27643.407802966321</v>
      </c>
      <c r="E171" s="48">
        <f>-($B$5+SUM($D$7:$D170))*$B171/12</f>
        <v>-142087.12728852185</v>
      </c>
      <c r="F171" s="48">
        <f t="shared" si="2"/>
        <v>-169730.53509148816</v>
      </c>
      <c r="G171" s="48">
        <f>($B$5+SUM($D$7:$D171))</f>
        <v>5851823.9282737989</v>
      </c>
    </row>
    <row r="172" spans="2:7">
      <c r="B172" s="45">
        <f>'Ипотечный калькулятор'!$C$21</f>
        <v>0.29000000000000004</v>
      </c>
      <c r="C172" s="47">
        <v>166</v>
      </c>
      <c r="D172" s="48">
        <f>PPMT($B172/12,1,$C$5-C172+1,$B$5+SUM($D$7:D171),0)</f>
        <v>-28311.456824871337</v>
      </c>
      <c r="E172" s="48">
        <f>-($B$5+SUM($D$7:$D171))*$B172/12</f>
        <v>-141419.07826661682</v>
      </c>
      <c r="F172" s="48">
        <f t="shared" si="2"/>
        <v>-169730.53509148816</v>
      </c>
      <c r="G172" s="48">
        <f>($B$5+SUM($D$7:$D172))</f>
        <v>5823512.4714489272</v>
      </c>
    </row>
    <row r="173" spans="2:7">
      <c r="B173" s="45">
        <f>'Ипотечный калькулятор'!$C$21</f>
        <v>0.29000000000000004</v>
      </c>
      <c r="C173" s="46">
        <v>167</v>
      </c>
      <c r="D173" s="48">
        <f>PPMT($B173/12,1,$C$5-C173+1,$B$5+SUM($D$7:D172),0)</f>
        <v>-28995.650364805733</v>
      </c>
      <c r="E173" s="48">
        <f>-($B$5+SUM($D$7:$D172))*$B173/12</f>
        <v>-140734.88472668242</v>
      </c>
      <c r="F173" s="48">
        <f t="shared" si="2"/>
        <v>-169730.53509148816</v>
      </c>
      <c r="G173" s="48">
        <f>($B$5+SUM($D$7:$D173))</f>
        <v>5794516.8210841212</v>
      </c>
    </row>
    <row r="174" spans="2:7">
      <c r="B174" s="45">
        <f>'Ипотечный калькулятор'!$C$21</f>
        <v>0.29000000000000004</v>
      </c>
      <c r="C174" s="47">
        <v>168</v>
      </c>
      <c r="D174" s="48">
        <f>PPMT($B174/12,1,$C$5-C174+1,$B$5+SUM($D$7:D173),0)</f>
        <v>-29696.378581955199</v>
      </c>
      <c r="E174" s="48">
        <f>-($B$5+SUM($D$7:$D173))*$B174/12</f>
        <v>-140034.15650953294</v>
      </c>
      <c r="F174" s="48">
        <f t="shared" si="2"/>
        <v>-169730.53509148816</v>
      </c>
      <c r="G174" s="48">
        <f>($B$5+SUM($D$7:$D174))</f>
        <v>5764820.4425021671</v>
      </c>
    </row>
    <row r="175" spans="2:7">
      <c r="B175" s="45">
        <f>'Ипотечный калькулятор'!$C$21</f>
        <v>0.29000000000000004</v>
      </c>
      <c r="C175" s="46">
        <v>169</v>
      </c>
      <c r="D175" s="48">
        <f>PPMT($B175/12,1,$C$5-C175+1,$B$5+SUM($D$7:D174),0)</f>
        <v>-30414.041064352463</v>
      </c>
      <c r="E175" s="48">
        <f>-($B$5+SUM($D$7:$D174))*$B175/12</f>
        <v>-139316.49402713572</v>
      </c>
      <c r="F175" s="48">
        <f t="shared" si="2"/>
        <v>-169730.53509148819</v>
      </c>
      <c r="G175" s="48">
        <f>($B$5+SUM($D$7:$D175))</f>
        <v>5734406.4014378143</v>
      </c>
    </row>
    <row r="176" spans="2:7">
      <c r="B176" s="45">
        <f>'Ипотечный калькулятор'!$C$21</f>
        <v>0.29000000000000004</v>
      </c>
      <c r="C176" s="47">
        <v>170</v>
      </c>
      <c r="D176" s="48">
        <f>PPMT($B176/12,1,$C$5-C176+1,$B$5+SUM($D$7:D175),0)</f>
        <v>-31149.047056740976</v>
      </c>
      <c r="E176" s="48">
        <f>-($B$5+SUM($D$7:$D175))*$B176/12</f>
        <v>-138581.48803474719</v>
      </c>
      <c r="F176" s="48">
        <f t="shared" si="2"/>
        <v>-169730.53509148816</v>
      </c>
      <c r="G176" s="48">
        <f>($B$5+SUM($D$7:$D176))</f>
        <v>5703257.3543810733</v>
      </c>
    </row>
    <row r="177" spans="2:7">
      <c r="B177" s="45">
        <f>'Ипотечный калькулятор'!$C$21</f>
        <v>0.29000000000000004</v>
      </c>
      <c r="C177" s="46">
        <v>171</v>
      </c>
      <c r="D177" s="48">
        <f>PPMT($B177/12,1,$C$5-C177+1,$B$5+SUM($D$7:D176),0)</f>
        <v>-31901.815693945551</v>
      </c>
      <c r="E177" s="48">
        <f>-($B$5+SUM($D$7:$D176))*$B177/12</f>
        <v>-137828.71939754262</v>
      </c>
      <c r="F177" s="48">
        <f t="shared" si="2"/>
        <v>-169730.53509148816</v>
      </c>
      <c r="G177" s="48">
        <f>($B$5+SUM($D$7:$D177))</f>
        <v>5671355.5386871276</v>
      </c>
    </row>
    <row r="178" spans="2:7">
      <c r="B178" s="45">
        <f>'Ипотечный калькулятор'!$C$21</f>
        <v>0.29000000000000004</v>
      </c>
      <c r="C178" s="47">
        <v>172</v>
      </c>
      <c r="D178" s="48">
        <f>PPMT($B178/12,1,$C$5-C178+1,$B$5+SUM($D$7:D177),0)</f>
        <v>-32672.776239882562</v>
      </c>
      <c r="E178" s="48">
        <f>-($B$5+SUM($D$7:$D177))*$B178/12</f>
        <v>-137057.75885160561</v>
      </c>
      <c r="F178" s="48">
        <f t="shared" si="2"/>
        <v>-169730.53509148819</v>
      </c>
      <c r="G178" s="48">
        <f>($B$5+SUM($D$7:$D178))</f>
        <v>5638682.7624472454</v>
      </c>
    </row>
    <row r="179" spans="2:7">
      <c r="B179" s="45">
        <f>'Ипотечный калькулятор'!$C$21</f>
        <v>0.29000000000000004</v>
      </c>
      <c r="C179" s="46">
        <v>173</v>
      </c>
      <c r="D179" s="48">
        <f>PPMT($B179/12,1,$C$5-C179+1,$B$5+SUM($D$7:D178),0)</f>
        <v>-33462.368332346399</v>
      </c>
      <c r="E179" s="48">
        <f>-($B$5+SUM($D$7:$D178))*$B179/12</f>
        <v>-136268.16675914178</v>
      </c>
      <c r="F179" s="48">
        <f t="shared" si="2"/>
        <v>-169730.53509148819</v>
      </c>
      <c r="G179" s="48">
        <f>($B$5+SUM($D$7:$D179))</f>
        <v>5605220.3941148985</v>
      </c>
    </row>
    <row r="180" spans="2:7">
      <c r="B180" s="45">
        <f>'Ипотечный калькулятор'!$C$21</f>
        <v>0.29000000000000004</v>
      </c>
      <c r="C180" s="47">
        <v>174</v>
      </c>
      <c r="D180" s="48">
        <f>PPMT($B180/12,1,$C$5-C180+1,$B$5+SUM($D$7:D179),0)</f>
        <v>-34271.042233711429</v>
      </c>
      <c r="E180" s="48">
        <f>-($B$5+SUM($D$7:$D179))*$B180/12</f>
        <v>-135459.49285777673</v>
      </c>
      <c r="F180" s="48">
        <f t="shared" si="2"/>
        <v>-169730.53509148816</v>
      </c>
      <c r="G180" s="48">
        <f>($B$5+SUM($D$7:$D180))</f>
        <v>5570949.3518811874</v>
      </c>
    </row>
    <row r="181" spans="2:7">
      <c r="B181" s="45">
        <f>'Ипотечный калькулятор'!$C$21</f>
        <v>0.29000000000000004</v>
      </c>
      <c r="C181" s="46">
        <v>175</v>
      </c>
      <c r="D181" s="48">
        <f>PPMT($B181/12,1,$C$5-C181+1,$B$5+SUM($D$7:D180),0)</f>
        <v>-35099.259087692786</v>
      </c>
      <c r="E181" s="48">
        <f>-($B$5+SUM($D$7:$D180))*$B181/12</f>
        <v>-134631.27600379538</v>
      </c>
      <c r="F181" s="48">
        <f t="shared" si="2"/>
        <v>-169730.53509148816</v>
      </c>
      <c r="G181" s="48">
        <f>($B$5+SUM($D$7:$D181))</f>
        <v>5535850.0927934945</v>
      </c>
    </row>
    <row r="182" spans="2:7">
      <c r="B182" s="45">
        <f>'Ипотечный калькулятор'!$C$21</f>
        <v>0.29000000000000004</v>
      </c>
      <c r="C182" s="47">
        <v>176</v>
      </c>
      <c r="D182" s="48">
        <f>PPMT($B182/12,1,$C$5-C182+1,$B$5+SUM($D$7:D181),0)</f>
        <v>-35947.491182312035</v>
      </c>
      <c r="E182" s="48">
        <f>-($B$5+SUM($D$7:$D181))*$B182/12</f>
        <v>-133783.04390917614</v>
      </c>
      <c r="F182" s="48">
        <f t="shared" si="2"/>
        <v>-169730.53509148816</v>
      </c>
      <c r="G182" s="48">
        <f>($B$5+SUM($D$7:$D182))</f>
        <v>5499902.6016111821</v>
      </c>
    </row>
    <row r="183" spans="2:7">
      <c r="B183" s="45">
        <f>'Ипотечный калькулятор'!$C$21</f>
        <v>0.29000000000000004</v>
      </c>
      <c r="C183" s="46">
        <v>177</v>
      </c>
      <c r="D183" s="48">
        <f>PPMT($B183/12,1,$C$5-C183+1,$B$5+SUM($D$7:D182),0)</f>
        <v>-36816.222219217903</v>
      </c>
      <c r="E183" s="48">
        <f>-($B$5+SUM($D$7:$D182))*$B183/12</f>
        <v>-132914.31287227027</v>
      </c>
      <c r="F183" s="48">
        <f t="shared" si="2"/>
        <v>-169730.53509148816</v>
      </c>
      <c r="G183" s="48">
        <f>($B$5+SUM($D$7:$D183))</f>
        <v>5463086.3793919645</v>
      </c>
    </row>
    <row r="184" spans="2:7">
      <c r="B184" s="45">
        <f>'Ипотечный калькулятор'!$C$21</f>
        <v>0.29000000000000004</v>
      </c>
      <c r="C184" s="47">
        <v>178</v>
      </c>
      <c r="D184" s="48">
        <f>PPMT($B184/12,1,$C$5-C184+1,$B$5+SUM($D$7:D183),0)</f>
        <v>-37705.947589515679</v>
      </c>
      <c r="E184" s="48">
        <f>-($B$5+SUM($D$7:$D183))*$B184/12</f>
        <v>-132024.58750197248</v>
      </c>
      <c r="F184" s="48">
        <f t="shared" si="2"/>
        <v>-169730.53509148816</v>
      </c>
      <c r="G184" s="48">
        <f>($B$5+SUM($D$7:$D184))</f>
        <v>5425380.4318024488</v>
      </c>
    </row>
    <row r="185" spans="2:7">
      <c r="B185" s="45">
        <f>'Ипотечный калькулятор'!$C$21</f>
        <v>0.29000000000000004</v>
      </c>
      <c r="C185" s="46">
        <v>179</v>
      </c>
      <c r="D185" s="48">
        <f>PPMT($B185/12,1,$C$5-C185+1,$B$5+SUM($D$7:D184),0)</f>
        <v>-38617.174656262308</v>
      </c>
      <c r="E185" s="48">
        <f>-($B$5+SUM($D$7:$D184))*$B185/12</f>
        <v>-131113.36043522586</v>
      </c>
      <c r="F185" s="48">
        <f t="shared" si="2"/>
        <v>-169730.53509148816</v>
      </c>
      <c r="G185" s="48">
        <f>($B$5+SUM($D$7:$D185))</f>
        <v>5386763.2571461862</v>
      </c>
    </row>
    <row r="186" spans="2:7">
      <c r="B186" s="45">
        <f>'Ипотечный калькулятор'!$C$21</f>
        <v>0.29000000000000004</v>
      </c>
      <c r="C186" s="47">
        <v>180</v>
      </c>
      <c r="D186" s="48">
        <f>PPMT($B186/12,1,$C$5-C186+1,$B$5+SUM($D$7:D185),0)</f>
        <v>-39550.423043788644</v>
      </c>
      <c r="E186" s="48">
        <f>-($B$5+SUM($D$7:$D185))*$B186/12</f>
        <v>-130180.11204769951</v>
      </c>
      <c r="F186" s="48">
        <f t="shared" si="2"/>
        <v>-169730.53509148816</v>
      </c>
      <c r="G186" s="48">
        <f>($B$5+SUM($D$7:$D186))</f>
        <v>5347212.8341023978</v>
      </c>
    </row>
    <row r="187" spans="2:7">
      <c r="B187" s="45">
        <f>'Ипотечный калькулятор'!$C$21</f>
        <v>0.29000000000000004</v>
      </c>
      <c r="C187" s="46">
        <v>181</v>
      </c>
      <c r="D187" s="48">
        <f>PPMT($B187/12,1,$C$5-C187+1,$B$5+SUM($D$7:D186),0)</f>
        <v>-40506.224934013531</v>
      </c>
      <c r="E187" s="48">
        <f>-($B$5+SUM($D$7:$D186))*$B187/12</f>
        <v>-129224.31015747464</v>
      </c>
      <c r="F187" s="48">
        <f t="shared" si="2"/>
        <v>-169730.53509148816</v>
      </c>
      <c r="G187" s="48">
        <f>($B$5+SUM($D$7:$D187))</f>
        <v>5306706.6091683842</v>
      </c>
    </row>
    <row r="188" spans="2:7">
      <c r="B188" s="45">
        <f>'Ипотечный калькулятор'!$C$21</f>
        <v>0.29000000000000004</v>
      </c>
      <c r="C188" s="47">
        <v>182</v>
      </c>
      <c r="D188" s="48">
        <f>PPMT($B188/12,1,$C$5-C188+1,$B$5+SUM($D$7:D187),0)</f>
        <v>-41485.12536991886</v>
      </c>
      <c r="E188" s="48">
        <f>-($B$5+SUM($D$7:$D187))*$B188/12</f>
        <v>-128245.40972156929</v>
      </c>
      <c r="F188" s="48">
        <f t="shared" si="2"/>
        <v>-169730.53509148816</v>
      </c>
      <c r="G188" s="48">
        <f>($B$5+SUM($D$7:$D188))</f>
        <v>5265221.4837984657</v>
      </c>
    </row>
    <row r="189" spans="2:7">
      <c r="B189" s="45">
        <f>'Ипотечный калькулятор'!$C$21</f>
        <v>0.29000000000000004</v>
      </c>
      <c r="C189" s="46">
        <v>183</v>
      </c>
      <c r="D189" s="48">
        <f>PPMT($B189/12,1,$C$5-C189+1,$B$5+SUM($D$7:D188),0)</f>
        <v>-42487.682566358562</v>
      </c>
      <c r="E189" s="48">
        <f>-($B$5+SUM($D$7:$D188))*$B189/12</f>
        <v>-127242.85252512961</v>
      </c>
      <c r="F189" s="48">
        <f t="shared" si="2"/>
        <v>-169730.53509148816</v>
      </c>
      <c r="G189" s="48">
        <f>($B$5+SUM($D$7:$D189))</f>
        <v>5222733.801232107</v>
      </c>
    </row>
    <row r="190" spans="2:7">
      <c r="B190" s="45">
        <f>'Ипотечный калькулятор'!$C$21</f>
        <v>0.29000000000000004</v>
      </c>
      <c r="C190" s="47">
        <v>184</v>
      </c>
      <c r="D190" s="48">
        <f>PPMT($B190/12,1,$C$5-C190+1,$B$5+SUM($D$7:D189),0)</f>
        <v>-43514.468228378893</v>
      </c>
      <c r="E190" s="48">
        <f>-($B$5+SUM($D$7:$D189))*$B190/12</f>
        <v>-126216.06686310926</v>
      </c>
      <c r="F190" s="48">
        <f t="shared" si="2"/>
        <v>-169730.53509148816</v>
      </c>
      <c r="G190" s="48">
        <f>($B$5+SUM($D$7:$D190))</f>
        <v>5179219.3330037277</v>
      </c>
    </row>
    <row r="191" spans="2:7">
      <c r="B191" s="45">
        <f>'Ипотечный калькулятор'!$C$21</f>
        <v>0.29000000000000004</v>
      </c>
      <c r="C191" s="46">
        <v>185</v>
      </c>
      <c r="D191" s="48">
        <f>PPMT($B191/12,1,$C$5-C191+1,$B$5+SUM($D$7:D190),0)</f>
        <v>-44566.067877231391</v>
      </c>
      <c r="E191" s="48">
        <f>-($B$5+SUM($D$7:$D190))*$B191/12</f>
        <v>-125164.46721425677</v>
      </c>
      <c r="F191" s="48">
        <f t="shared" si="2"/>
        <v>-169730.53509148816</v>
      </c>
      <c r="G191" s="48">
        <f>($B$5+SUM($D$7:$D191))</f>
        <v>5134653.2651264966</v>
      </c>
    </row>
    <row r="192" spans="2:7">
      <c r="B192" s="45">
        <f>'Ипотечный калькулятор'!$C$21</f>
        <v>0.29000000000000004</v>
      </c>
      <c r="C192" s="47">
        <v>186</v>
      </c>
      <c r="D192" s="48">
        <f>PPMT($B192/12,1,$C$5-C192+1,$B$5+SUM($D$7:D191),0)</f>
        <v>-45643.081184264483</v>
      </c>
      <c r="E192" s="48">
        <f>-($B$5+SUM($D$7:$D191))*$B192/12</f>
        <v>-124087.45390722369</v>
      </c>
      <c r="F192" s="48">
        <f t="shared" si="2"/>
        <v>-169730.53509148819</v>
      </c>
      <c r="G192" s="48">
        <f>($B$5+SUM($D$7:$D192))</f>
        <v>5089010.1839422323</v>
      </c>
    </row>
    <row r="193" spans="2:7">
      <c r="B193" s="45">
        <f>'Ипотечный калькулятор'!$C$21</f>
        <v>0.29000000000000004</v>
      </c>
      <c r="C193" s="46">
        <v>187</v>
      </c>
      <c r="D193" s="48">
        <f>PPMT($B193/12,1,$C$5-C193+1,$B$5+SUM($D$7:D192),0)</f>
        <v>-46746.12231288421</v>
      </c>
      <c r="E193" s="48">
        <f>-($B$5+SUM($D$7:$D192))*$B193/12</f>
        <v>-122984.41277860396</v>
      </c>
      <c r="F193" s="48">
        <f t="shared" si="2"/>
        <v>-169730.53509148816</v>
      </c>
      <c r="G193" s="48">
        <f>($B$5+SUM($D$7:$D193))</f>
        <v>5042264.0616293475</v>
      </c>
    </row>
    <row r="194" spans="2:7">
      <c r="B194" s="45">
        <f>'Ипотечный калькулятор'!$C$21</f>
        <v>0.29000000000000004</v>
      </c>
      <c r="C194" s="47">
        <v>188</v>
      </c>
      <c r="D194" s="48">
        <f>PPMT($B194/12,1,$C$5-C194+1,$B$5+SUM($D$7:D193),0)</f>
        <v>-47875.820268778902</v>
      </c>
      <c r="E194" s="48">
        <f>-($B$5+SUM($D$7:$D193))*$B194/12</f>
        <v>-121854.71482270925</v>
      </c>
      <c r="F194" s="48">
        <f t="shared" si="2"/>
        <v>-169730.53509148816</v>
      </c>
      <c r="G194" s="48">
        <f>($B$5+SUM($D$7:$D194))</f>
        <v>4994388.2413605694</v>
      </c>
    </row>
    <row r="195" spans="2:7">
      <c r="B195" s="45">
        <f>'Ипотечный калькулятор'!$C$21</f>
        <v>0.29000000000000004</v>
      </c>
      <c r="C195" s="46">
        <v>189</v>
      </c>
      <c r="D195" s="48">
        <f>PPMT($B195/12,1,$C$5-C195+1,$B$5+SUM($D$7:D194),0)</f>
        <v>-49032.819258607742</v>
      </c>
      <c r="E195" s="48">
        <f>-($B$5+SUM($D$7:$D194))*$B195/12</f>
        <v>-120697.71583288045</v>
      </c>
      <c r="F195" s="48">
        <f t="shared" si="2"/>
        <v>-169730.53509148819</v>
      </c>
      <c r="G195" s="48">
        <f>($B$5+SUM($D$7:$D195))</f>
        <v>4945355.4221019614</v>
      </c>
    </row>
    <row r="196" spans="2:7">
      <c r="B196" s="45">
        <f>'Ипотечный калькулятор'!$C$21</f>
        <v>0.29000000000000004</v>
      </c>
      <c r="C196" s="47">
        <v>190</v>
      </c>
      <c r="D196" s="48">
        <f>PPMT($B196/12,1,$C$5-C196+1,$B$5+SUM($D$7:D195),0)</f>
        <v>-50217.779057357424</v>
      </c>
      <c r="E196" s="48">
        <f>-($B$5+SUM($D$7:$D195))*$B196/12</f>
        <v>-119512.75603413075</v>
      </c>
      <c r="F196" s="48">
        <f t="shared" si="2"/>
        <v>-169730.53509148819</v>
      </c>
      <c r="G196" s="48">
        <f>($B$5+SUM($D$7:$D196))</f>
        <v>4895137.643044604</v>
      </c>
    </row>
    <row r="197" spans="2:7">
      <c r="B197" s="45">
        <f>'Ипотечный калькулятор'!$C$21</f>
        <v>0.29000000000000004</v>
      </c>
      <c r="C197" s="46">
        <v>191</v>
      </c>
      <c r="D197" s="48">
        <f>PPMT($B197/12,1,$C$5-C197+1,$B$5+SUM($D$7:D196),0)</f>
        <v>-51431.375384576902</v>
      </c>
      <c r="E197" s="48">
        <f>-($B$5+SUM($D$7:$D196))*$B197/12</f>
        <v>-118299.15970691129</v>
      </c>
      <c r="F197" s="48">
        <f t="shared" si="2"/>
        <v>-169730.53509148819</v>
      </c>
      <c r="G197" s="48">
        <f>($B$5+SUM($D$7:$D197))</f>
        <v>4843706.2676600274</v>
      </c>
    </row>
    <row r="198" spans="2:7">
      <c r="B198" s="45">
        <f>'Ипотечный калькулятор'!$C$21</f>
        <v>0.29000000000000004</v>
      </c>
      <c r="C198" s="47">
        <v>192</v>
      </c>
      <c r="D198" s="48">
        <f>PPMT($B198/12,1,$C$5-C198+1,$B$5+SUM($D$7:D197),0)</f>
        <v>-52674.300289704159</v>
      </c>
      <c r="E198" s="48">
        <f>-($B$5+SUM($D$7:$D197))*$B198/12</f>
        <v>-117056.234801784</v>
      </c>
      <c r="F198" s="48">
        <f t="shared" si="2"/>
        <v>-169730.53509148816</v>
      </c>
      <c r="G198" s="48">
        <f>($B$5+SUM($D$7:$D198))</f>
        <v>4791031.9673703229</v>
      </c>
    </row>
    <row r="199" spans="2:7">
      <c r="B199" s="45">
        <f>'Ипотечный калькулятор'!$C$21</f>
        <v>0.29000000000000004</v>
      </c>
      <c r="C199" s="46">
        <v>193</v>
      </c>
      <c r="D199" s="48">
        <f>PPMT($B199/12,1,$C$5-C199+1,$B$5+SUM($D$7:D198),0)</f>
        <v>-53947.262546705351</v>
      </c>
      <c r="E199" s="48">
        <f>-($B$5+SUM($D$7:$D198))*$B199/12</f>
        <v>-115783.27254478283</v>
      </c>
      <c r="F199" s="48">
        <f t="shared" ref="F199:F246" si="3">SUM(D199:E199)</f>
        <v>-169730.53509148819</v>
      </c>
      <c r="G199" s="48">
        <f>($B$5+SUM($D$7:$D199))</f>
        <v>4737084.7048236169</v>
      </c>
    </row>
    <row r="200" spans="2:7">
      <c r="B200" s="45">
        <f>'Ипотечный калькулятор'!$C$21</f>
        <v>0.29000000000000004</v>
      </c>
      <c r="C200" s="47">
        <v>194</v>
      </c>
      <c r="D200" s="48">
        <f>PPMT($B200/12,1,$C$5-C200+1,$B$5+SUM($D$7:D199),0)</f>
        <v>-55250.988058250725</v>
      </c>
      <c r="E200" s="48">
        <f>-($B$5+SUM($D$7:$D199))*$B200/12</f>
        <v>-114479.54703323742</v>
      </c>
      <c r="F200" s="48">
        <f t="shared" si="3"/>
        <v>-169730.53509148816</v>
      </c>
      <c r="G200" s="48">
        <f>($B$5+SUM($D$7:$D200))</f>
        <v>4681833.7167653665</v>
      </c>
    </row>
    <row r="201" spans="2:7">
      <c r="B201" s="45">
        <f>'Ипотечный калькулятор'!$C$21</f>
        <v>0.29000000000000004</v>
      </c>
      <c r="C201" s="46">
        <v>195</v>
      </c>
      <c r="D201" s="48">
        <f>PPMT($B201/12,1,$C$5-C201+1,$B$5+SUM($D$7:D200),0)</f>
        <v>-56586.220269658443</v>
      </c>
      <c r="E201" s="48">
        <f>-($B$5+SUM($D$7:$D200))*$B201/12</f>
        <v>-113144.31482182971</v>
      </c>
      <c r="F201" s="48">
        <f t="shared" si="3"/>
        <v>-169730.53509148816</v>
      </c>
      <c r="G201" s="48">
        <f>($B$5+SUM($D$7:$D201))</f>
        <v>4625247.4964957079</v>
      </c>
    </row>
    <row r="202" spans="2:7">
      <c r="B202" s="45">
        <f>'Ипотечный калькулятор'!$C$21</f>
        <v>0.29000000000000004</v>
      </c>
      <c r="C202" s="47">
        <v>196</v>
      </c>
      <c r="D202" s="48">
        <f>PPMT($B202/12,1,$C$5-C202+1,$B$5+SUM($D$7:D201),0)</f>
        <v>-57953.720592841855</v>
      </c>
      <c r="E202" s="48">
        <f>-($B$5+SUM($D$7:$D201))*$B202/12</f>
        <v>-111776.81449864629</v>
      </c>
      <c r="F202" s="48">
        <f t="shared" si="3"/>
        <v>-169730.53509148816</v>
      </c>
      <c r="G202" s="48">
        <f>($B$5+SUM($D$7:$D202))</f>
        <v>4567293.7759028655</v>
      </c>
    </row>
    <row r="203" spans="2:7">
      <c r="B203" s="45">
        <f>'Ипотечный калькулятор'!$C$21</f>
        <v>0.29000000000000004</v>
      </c>
      <c r="C203" s="46">
        <v>197</v>
      </c>
      <c r="D203" s="48">
        <f>PPMT($B203/12,1,$C$5-C203+1,$B$5+SUM($D$7:D202),0)</f>
        <v>-59354.268840502205</v>
      </c>
      <c r="E203" s="48">
        <f>-($B$5+SUM($D$7:$D202))*$B203/12</f>
        <v>-110376.26625098592</v>
      </c>
      <c r="F203" s="48">
        <f t="shared" si="3"/>
        <v>-169730.53509148813</v>
      </c>
      <c r="G203" s="48">
        <f>($B$5+SUM($D$7:$D203))</f>
        <v>4507939.5070623644</v>
      </c>
    </row>
    <row r="204" spans="2:7">
      <c r="B204" s="45">
        <f>'Ипотечный калькулятор'!$C$21</f>
        <v>0.29000000000000004</v>
      </c>
      <c r="C204" s="47">
        <v>198</v>
      </c>
      <c r="D204" s="48">
        <f>PPMT($B204/12,1,$C$5-C204+1,$B$5+SUM($D$7:D203),0)</f>
        <v>-60788.663670814349</v>
      </c>
      <c r="E204" s="48">
        <f>-($B$5+SUM($D$7:$D203))*$B204/12</f>
        <v>-108941.87142067381</v>
      </c>
      <c r="F204" s="48">
        <f t="shared" si="3"/>
        <v>-169730.53509148816</v>
      </c>
      <c r="G204" s="48">
        <f>($B$5+SUM($D$7:$D204))</f>
        <v>4447150.8433915498</v>
      </c>
    </row>
    <row r="205" spans="2:7">
      <c r="B205" s="45">
        <f>'Ипотечный калькулятор'!$C$21</f>
        <v>0.29000000000000004</v>
      </c>
      <c r="C205" s="46">
        <v>199</v>
      </c>
      <c r="D205" s="48">
        <f>PPMT($B205/12,1,$C$5-C205+1,$B$5+SUM($D$7:D204),0)</f>
        <v>-62257.723042859034</v>
      </c>
      <c r="E205" s="48">
        <f>-($B$5+SUM($D$7:$D204))*$B205/12</f>
        <v>-107472.81204862914</v>
      </c>
      <c r="F205" s="48">
        <f t="shared" si="3"/>
        <v>-169730.53509148819</v>
      </c>
      <c r="G205" s="48">
        <f>($B$5+SUM($D$7:$D205))</f>
        <v>4384893.1203486901</v>
      </c>
    </row>
    <row r="206" spans="2:7">
      <c r="B206" s="45">
        <f>'Ипотечный калькулятор'!$C$21</f>
        <v>0.29000000000000004</v>
      </c>
      <c r="C206" s="47">
        <v>200</v>
      </c>
      <c r="D206" s="48">
        <f>PPMT($B206/12,1,$C$5-C206+1,$B$5+SUM($D$7:D205),0)</f>
        <v>-63762.284683061444</v>
      </c>
      <c r="E206" s="48">
        <f>-($B$5+SUM($D$7:$D205))*$B206/12</f>
        <v>-105968.25040842668</v>
      </c>
      <c r="F206" s="48">
        <f t="shared" si="3"/>
        <v>-169730.53509148813</v>
      </c>
      <c r="G206" s="48">
        <f>($B$5+SUM($D$7:$D206))</f>
        <v>4321130.8356656292</v>
      </c>
    </row>
    <row r="207" spans="2:7">
      <c r="B207" s="45">
        <f>'Ипотечный калькулятор'!$C$21</f>
        <v>0.29000000000000004</v>
      </c>
      <c r="C207" s="46">
        <v>201</v>
      </c>
      <c r="D207" s="48">
        <f>PPMT($B207/12,1,$C$5-C207+1,$B$5+SUM($D$7:D206),0)</f>
        <v>-65303.206562902116</v>
      </c>
      <c r="E207" s="48">
        <f>-($B$5+SUM($D$7:$D206))*$B207/12</f>
        <v>-104427.32852858606</v>
      </c>
      <c r="F207" s="48">
        <f t="shared" si="3"/>
        <v>-169730.53509148819</v>
      </c>
      <c r="G207" s="48">
        <f>($B$5+SUM($D$7:$D207))</f>
        <v>4255827.6291027274</v>
      </c>
    </row>
    <row r="208" spans="2:7">
      <c r="B208" s="45">
        <f>'Ипотечный калькулятор'!$C$21</f>
        <v>0.29000000000000004</v>
      </c>
      <c r="C208" s="47">
        <v>202</v>
      </c>
      <c r="D208" s="48">
        <f>PPMT($B208/12,1,$C$5-C208+1,$B$5+SUM($D$7:D207),0)</f>
        <v>-66881.36738817225</v>
      </c>
      <c r="E208" s="48">
        <f>-($B$5+SUM($D$7:$D207))*$B208/12</f>
        <v>-102849.16770331592</v>
      </c>
      <c r="F208" s="48">
        <f t="shared" si="3"/>
        <v>-169730.53509148816</v>
      </c>
      <c r="G208" s="48">
        <f>($B$5+SUM($D$7:$D208))</f>
        <v>4188946.2617145549</v>
      </c>
    </row>
    <row r="209" spans="2:7">
      <c r="B209" s="45">
        <f>'Ипотечный калькулятор'!$C$21</f>
        <v>0.29000000000000004</v>
      </c>
      <c r="C209" s="46">
        <v>203</v>
      </c>
      <c r="D209" s="48">
        <f>PPMT($B209/12,1,$C$5-C209+1,$B$5+SUM($D$7:D208),0)</f>
        <v>-68497.667100053062</v>
      </c>
      <c r="E209" s="48">
        <f>-($B$5+SUM($D$7:$D208))*$B209/12</f>
        <v>-101232.86799143509</v>
      </c>
      <c r="F209" s="48">
        <f t="shared" si="3"/>
        <v>-169730.53509148816</v>
      </c>
      <c r="G209" s="48">
        <f>($B$5+SUM($D$7:$D209))</f>
        <v>4120448.5946145016</v>
      </c>
    </row>
    <row r="210" spans="2:7">
      <c r="B210" s="45">
        <f>'Ипотечный калькулятор'!$C$21</f>
        <v>0.29000000000000004</v>
      </c>
      <c r="C210" s="47">
        <v>204</v>
      </c>
      <c r="D210" s="48">
        <f>PPMT($B210/12,1,$C$5-C210+1,$B$5+SUM($D$7:D209),0)</f>
        <v>-70153.027388304356</v>
      </c>
      <c r="E210" s="48">
        <f>-($B$5+SUM($D$7:$D209))*$B210/12</f>
        <v>-99577.507703183801</v>
      </c>
      <c r="F210" s="48">
        <f t="shared" si="3"/>
        <v>-169730.53509148816</v>
      </c>
      <c r="G210" s="48">
        <f>($B$5+SUM($D$7:$D210))</f>
        <v>4050295.5672261971</v>
      </c>
    </row>
    <row r="211" spans="2:7">
      <c r="B211" s="45">
        <f>'Ипотечный калькулятор'!$C$21</f>
        <v>0.29000000000000004</v>
      </c>
      <c r="C211" s="46">
        <v>205</v>
      </c>
      <c r="D211" s="48">
        <f>PPMT($B211/12,1,$C$5-C211+1,$B$5+SUM($D$7:D210),0)</f>
        <v>-71848.392216855034</v>
      </c>
      <c r="E211" s="48">
        <f>-($B$5+SUM($D$7:$D210))*$B211/12</f>
        <v>-97882.142874633122</v>
      </c>
      <c r="F211" s="48">
        <f t="shared" si="3"/>
        <v>-169730.53509148816</v>
      </c>
      <c r="G211" s="48">
        <f>($B$5+SUM($D$7:$D211))</f>
        <v>3978447.1750093419</v>
      </c>
    </row>
    <row r="212" spans="2:7">
      <c r="B212" s="45">
        <f>'Ипотечный калькулятор'!$C$21</f>
        <v>0.29000000000000004</v>
      </c>
      <c r="C212" s="47">
        <v>206</v>
      </c>
      <c r="D212" s="48">
        <f>PPMT($B212/12,1,$C$5-C212+1,$B$5+SUM($D$7:D211),0)</f>
        <v>-73584.728362095688</v>
      </c>
      <c r="E212" s="48">
        <f>-($B$5+SUM($D$7:$D211))*$B212/12</f>
        <v>-96145.80672939244</v>
      </c>
      <c r="F212" s="48">
        <f t="shared" si="3"/>
        <v>-169730.53509148813</v>
      </c>
      <c r="G212" s="48">
        <f>($B$5+SUM($D$7:$D212))</f>
        <v>3904862.4466472464</v>
      </c>
    </row>
    <row r="213" spans="2:7">
      <c r="B213" s="45">
        <f>'Ипотечный калькулятор'!$C$21</f>
        <v>0.29000000000000004</v>
      </c>
      <c r="C213" s="46">
        <v>207</v>
      </c>
      <c r="D213" s="48">
        <f>PPMT($B213/12,1,$C$5-C213+1,$B$5+SUM($D$7:D212),0)</f>
        <v>-75363.025964179673</v>
      </c>
      <c r="E213" s="48">
        <f>-($B$5+SUM($D$7:$D212))*$B213/12</f>
        <v>-94367.509127308454</v>
      </c>
      <c r="F213" s="48">
        <f t="shared" si="3"/>
        <v>-169730.53509148813</v>
      </c>
      <c r="G213" s="48">
        <f>($B$5+SUM($D$7:$D213))</f>
        <v>3829499.4206830668</v>
      </c>
    </row>
    <row r="214" spans="2:7">
      <c r="B214" s="45">
        <f>'Ипотечный калькулятор'!$C$21</f>
        <v>0.29000000000000004</v>
      </c>
      <c r="C214" s="47">
        <v>208</v>
      </c>
      <c r="D214" s="48">
        <f>PPMT($B214/12,1,$C$5-C214+1,$B$5+SUM($D$7:D213),0)</f>
        <v>-77184.299091647365</v>
      </c>
      <c r="E214" s="48">
        <f>-($B$5+SUM($D$7:$D213))*$B214/12</f>
        <v>-92546.235999840792</v>
      </c>
      <c r="F214" s="48">
        <f t="shared" si="3"/>
        <v>-169730.53509148816</v>
      </c>
      <c r="G214" s="48">
        <f>($B$5+SUM($D$7:$D214))</f>
        <v>3752315.1215914194</v>
      </c>
    </row>
    <row r="215" spans="2:7">
      <c r="B215" s="45">
        <f>'Ипотечный калькулятор'!$C$21</f>
        <v>0.29000000000000004</v>
      </c>
      <c r="C215" s="46">
        <v>209</v>
      </c>
      <c r="D215" s="48">
        <f>PPMT($B215/12,1,$C$5-C215+1,$B$5+SUM($D$7:D214),0)</f>
        <v>-79049.586319695503</v>
      </c>
      <c r="E215" s="48">
        <f>-($B$5+SUM($D$7:$D214))*$B215/12</f>
        <v>-90680.948771792639</v>
      </c>
      <c r="F215" s="48">
        <f t="shared" si="3"/>
        <v>-169730.53509148816</v>
      </c>
      <c r="G215" s="48">
        <f>($B$5+SUM($D$7:$D215))</f>
        <v>3673265.5352717238</v>
      </c>
    </row>
    <row r="216" spans="2:7">
      <c r="B216" s="45">
        <f>'Ипотечный калькулятор'!$C$21</f>
        <v>0.29000000000000004</v>
      </c>
      <c r="C216" s="47">
        <v>210</v>
      </c>
      <c r="D216" s="48">
        <f>PPMT($B216/12,1,$C$5-C216+1,$B$5+SUM($D$7:D215),0)</f>
        <v>-80959.951322421475</v>
      </c>
      <c r="E216" s="48">
        <f>-($B$5+SUM($D$7:$D215))*$B216/12</f>
        <v>-88770.583769066667</v>
      </c>
      <c r="F216" s="48">
        <f t="shared" si="3"/>
        <v>-169730.53509148816</v>
      </c>
      <c r="G216" s="48">
        <f>($B$5+SUM($D$7:$D216))</f>
        <v>3592305.5839493023</v>
      </c>
    </row>
    <row r="217" spans="2:7">
      <c r="B217" s="45">
        <f>'Ипотечный калькулятор'!$C$21</f>
        <v>0.29000000000000004</v>
      </c>
      <c r="C217" s="46">
        <v>211</v>
      </c>
      <c r="D217" s="48">
        <f>PPMT($B217/12,1,$C$5-C217+1,$B$5+SUM($D$7:D216),0)</f>
        <v>-82916.483479379996</v>
      </c>
      <c r="E217" s="48">
        <f>-($B$5+SUM($D$7:$D216))*$B217/12</f>
        <v>-86814.051612108145</v>
      </c>
      <c r="F217" s="48">
        <f t="shared" si="3"/>
        <v>-169730.53509148816</v>
      </c>
      <c r="G217" s="48">
        <f>($B$5+SUM($D$7:$D217))</f>
        <v>3509389.1004699222</v>
      </c>
    </row>
    <row r="218" spans="2:7">
      <c r="B218" s="45">
        <f>'Ипотечный калькулятор'!$C$21</f>
        <v>0.29000000000000004</v>
      </c>
      <c r="C218" s="47">
        <v>212</v>
      </c>
      <c r="D218" s="48">
        <f>PPMT($B218/12,1,$C$5-C218+1,$B$5+SUM($D$7:D217),0)</f>
        <v>-84920.298496798336</v>
      </c>
      <c r="E218" s="48">
        <f>-($B$5+SUM($D$7:$D217))*$B218/12</f>
        <v>-84810.236594689792</v>
      </c>
      <c r="F218" s="48">
        <f t="shared" si="3"/>
        <v>-169730.53509148813</v>
      </c>
      <c r="G218" s="48">
        <f>($B$5+SUM($D$7:$D218))</f>
        <v>3424468.801973124</v>
      </c>
    </row>
    <row r="219" spans="2:7">
      <c r="B219" s="45">
        <f>'Ипотечный калькулятор'!$C$21</f>
        <v>0.29000000000000004</v>
      </c>
      <c r="C219" s="46">
        <v>213</v>
      </c>
      <c r="D219" s="48">
        <f>PPMT($B219/12,1,$C$5-C219+1,$B$5+SUM($D$7:D218),0)</f>
        <v>-86972.53904380431</v>
      </c>
      <c r="E219" s="48">
        <f>-($B$5+SUM($D$7:$D218))*$B219/12</f>
        <v>-82757.996047683831</v>
      </c>
      <c r="F219" s="48">
        <f t="shared" si="3"/>
        <v>-169730.53509148816</v>
      </c>
      <c r="G219" s="48">
        <f>($B$5+SUM($D$7:$D219))</f>
        <v>3337496.2629293199</v>
      </c>
    </row>
    <row r="220" spans="2:7">
      <c r="B220" s="45">
        <f>'Ипотечный калькулятор'!$C$21</f>
        <v>0.29000000000000004</v>
      </c>
      <c r="C220" s="47">
        <v>214</v>
      </c>
      <c r="D220" s="48">
        <f>PPMT($B220/12,1,$C$5-C220+1,$B$5+SUM($D$7:D219),0)</f>
        <v>-89074.375404029575</v>
      </c>
      <c r="E220" s="48">
        <f>-($B$5+SUM($D$7:$D219))*$B220/12</f>
        <v>-80656.159687458581</v>
      </c>
      <c r="F220" s="48">
        <f t="shared" si="3"/>
        <v>-169730.53509148816</v>
      </c>
      <c r="G220" s="48">
        <f>($B$5+SUM($D$7:$D220))</f>
        <v>3248421.8875252903</v>
      </c>
    </row>
    <row r="221" spans="2:7">
      <c r="B221" s="45">
        <f>'Ипотечный калькулятор'!$C$21</f>
        <v>0.29000000000000004</v>
      </c>
      <c r="C221" s="46">
        <v>215</v>
      </c>
      <c r="D221" s="48">
        <f>PPMT($B221/12,1,$C$5-C221+1,$B$5+SUM($D$7:D220),0)</f>
        <v>-91227.006142960294</v>
      </c>
      <c r="E221" s="48">
        <f>-($B$5+SUM($D$7:$D220))*$B221/12</f>
        <v>-78503.528948527863</v>
      </c>
      <c r="F221" s="48">
        <f t="shared" si="3"/>
        <v>-169730.53509148816</v>
      </c>
      <c r="G221" s="48">
        <f>($B$5+SUM($D$7:$D221))</f>
        <v>3157194.8813823299</v>
      </c>
    </row>
    <row r="222" spans="2:7">
      <c r="B222" s="45">
        <f>'Ипотечный калькулятор'!$C$21</f>
        <v>0.29000000000000004</v>
      </c>
      <c r="C222" s="47">
        <v>216</v>
      </c>
      <c r="D222" s="48">
        <f>PPMT($B222/12,1,$C$5-C222+1,$B$5+SUM($D$7:D221),0)</f>
        <v>-93431.658791415175</v>
      </c>
      <c r="E222" s="48">
        <f>-($B$5+SUM($D$7:$D221))*$B222/12</f>
        <v>-76298.876300072981</v>
      </c>
      <c r="F222" s="48">
        <f t="shared" si="3"/>
        <v>-169730.53509148816</v>
      </c>
      <c r="G222" s="48">
        <f>($B$5+SUM($D$7:$D222))</f>
        <v>3063763.2225909145</v>
      </c>
    </row>
    <row r="223" spans="2:7">
      <c r="B223" s="45">
        <f>'Ипотечный калькулятор'!$C$21</f>
        <v>0.29000000000000004</v>
      </c>
      <c r="C223" s="46">
        <v>217</v>
      </c>
      <c r="D223" s="48">
        <f>PPMT($B223/12,1,$C$5-C223+1,$B$5+SUM($D$7:D222),0)</f>
        <v>-95689.590545541025</v>
      </c>
      <c r="E223" s="48">
        <f>-($B$5+SUM($D$7:$D222))*$B223/12</f>
        <v>-74040.944545947117</v>
      </c>
      <c r="F223" s="48">
        <f t="shared" si="3"/>
        <v>-169730.53509148816</v>
      </c>
      <c r="G223" s="48">
        <f>($B$5+SUM($D$7:$D223))</f>
        <v>2968073.6320453733</v>
      </c>
    </row>
    <row r="224" spans="2:7">
      <c r="B224" s="45">
        <f>'Ипотечный калькулятор'!$C$21</f>
        <v>0.29000000000000004</v>
      </c>
      <c r="C224" s="47">
        <v>218</v>
      </c>
      <c r="D224" s="48">
        <f>PPMT($B224/12,1,$C$5-C224+1,$B$5+SUM($D$7:D223),0)</f>
        <v>-98002.088983724927</v>
      </c>
      <c r="E224" s="48">
        <f>-($B$5+SUM($D$7:$D223))*$B224/12</f>
        <v>-71728.4461077632</v>
      </c>
      <c r="F224" s="48">
        <f t="shared" si="3"/>
        <v>-169730.53509148813</v>
      </c>
      <c r="G224" s="48">
        <f>($B$5+SUM($D$7:$D224))</f>
        <v>2870071.5430616485</v>
      </c>
    </row>
    <row r="225" spans="2:7">
      <c r="B225" s="45">
        <f>'Ипотечный калькулятор'!$C$21</f>
        <v>0.29000000000000004</v>
      </c>
      <c r="C225" s="46">
        <v>219</v>
      </c>
      <c r="D225" s="48">
        <f>PPMT($B225/12,1,$C$5-C225+1,$B$5+SUM($D$7:D224),0)</f>
        <v>-100370.47280083162</v>
      </c>
      <c r="E225" s="48">
        <f>-($B$5+SUM($D$7:$D224))*$B225/12</f>
        <v>-69360.062290656511</v>
      </c>
      <c r="F225" s="48">
        <f t="shared" si="3"/>
        <v>-169730.53509148813</v>
      </c>
      <c r="G225" s="48">
        <f>($B$5+SUM($D$7:$D225))</f>
        <v>2769701.0702608172</v>
      </c>
    </row>
    <row r="226" spans="2:7">
      <c r="B226" s="45">
        <f>'Ипотечный калькулятор'!$C$21</f>
        <v>0.29000000000000004</v>
      </c>
      <c r="C226" s="47">
        <v>220</v>
      </c>
      <c r="D226" s="48">
        <f>PPMT($B226/12,1,$C$5-C226+1,$B$5+SUM($D$7:D225),0)</f>
        <v>-102796.09256018506</v>
      </c>
      <c r="E226" s="48">
        <f>-($B$5+SUM($D$7:$D225))*$B226/12</f>
        <v>-66934.442531303081</v>
      </c>
      <c r="F226" s="48">
        <f t="shared" si="3"/>
        <v>-169730.53509148816</v>
      </c>
      <c r="G226" s="48">
        <f>($B$5+SUM($D$7:$D226))</f>
        <v>2666904.9777006321</v>
      </c>
    </row>
    <row r="227" spans="2:7">
      <c r="B227" s="45">
        <f>'Ипотечный калькулятор'!$C$21</f>
        <v>0.29000000000000004</v>
      </c>
      <c r="C227" s="46">
        <v>221</v>
      </c>
      <c r="D227" s="48">
        <f>PPMT($B227/12,1,$C$5-C227+1,$B$5+SUM($D$7:D226),0)</f>
        <v>-105280.33146372286</v>
      </c>
      <c r="E227" s="48">
        <f>-($B$5+SUM($D$7:$D226))*$B227/12</f>
        <v>-64450.203627765288</v>
      </c>
      <c r="F227" s="48">
        <f t="shared" si="3"/>
        <v>-169730.53509148816</v>
      </c>
      <c r="G227" s="48">
        <f>($B$5+SUM($D$7:$D227))</f>
        <v>2561624.6462369096</v>
      </c>
    </row>
    <row r="228" spans="2:7">
      <c r="B228" s="45">
        <f>'Ипотечный калькулятор'!$C$21</f>
        <v>0.29000000000000004</v>
      </c>
      <c r="C228" s="47">
        <v>222</v>
      </c>
      <c r="D228" s="48">
        <f>PPMT($B228/12,1,$C$5-C228+1,$B$5+SUM($D$7:D227),0)</f>
        <v>-107824.60614076284</v>
      </c>
      <c r="E228" s="48">
        <f>-($B$5+SUM($D$7:$D227))*$B228/12</f>
        <v>-61905.92895072532</v>
      </c>
      <c r="F228" s="48">
        <f t="shared" si="3"/>
        <v>-169730.53509148816</v>
      </c>
      <c r="G228" s="48">
        <f>($B$5+SUM($D$7:$D228))</f>
        <v>2453800.040096147</v>
      </c>
    </row>
    <row r="229" spans="2:7">
      <c r="B229" s="45">
        <f>'Ипотечный калькулятор'!$C$21</f>
        <v>0.29000000000000004</v>
      </c>
      <c r="C229" s="46">
        <v>223</v>
      </c>
      <c r="D229" s="48">
        <f>PPMT($B229/12,1,$C$5-C229+1,$B$5+SUM($D$7:D228),0)</f>
        <v>-110430.36745583129</v>
      </c>
      <c r="E229" s="48">
        <f>-($B$5+SUM($D$7:$D228))*$B229/12</f>
        <v>-59300.167635656893</v>
      </c>
      <c r="F229" s="48">
        <f t="shared" si="3"/>
        <v>-169730.53509148819</v>
      </c>
      <c r="G229" s="48">
        <f>($B$5+SUM($D$7:$D229))</f>
        <v>2343369.6726403153</v>
      </c>
    </row>
    <row r="230" spans="2:7">
      <c r="B230" s="45">
        <f>'Ипотечный калькулятор'!$C$21</f>
        <v>0.29000000000000004</v>
      </c>
      <c r="C230" s="47">
        <v>224</v>
      </c>
      <c r="D230" s="48">
        <f>PPMT($B230/12,1,$C$5-C230+1,$B$5+SUM($D$7:D229),0)</f>
        <v>-113099.10133601387</v>
      </c>
      <c r="E230" s="48">
        <f>-($B$5+SUM($D$7:$D229))*$B230/12</f>
        <v>-56631.433755474289</v>
      </c>
      <c r="F230" s="48">
        <f t="shared" si="3"/>
        <v>-169730.53509148816</v>
      </c>
      <c r="G230" s="48">
        <f>($B$5+SUM($D$7:$D230))</f>
        <v>2230270.5713043017</v>
      </c>
    </row>
    <row r="231" spans="2:7">
      <c r="B231" s="45">
        <f>'Ипотечный калькулятор'!$C$21</f>
        <v>0.29000000000000004</v>
      </c>
      <c r="C231" s="46">
        <v>225</v>
      </c>
      <c r="D231" s="48">
        <f>PPMT($B231/12,1,$C$5-C231+1,$B$5+SUM($D$7:D230),0)</f>
        <v>-115832.32961830086</v>
      </c>
      <c r="E231" s="48">
        <f>-($B$5+SUM($D$7:$D230))*$B231/12</f>
        <v>-53898.2054731873</v>
      </c>
      <c r="F231" s="48">
        <f t="shared" si="3"/>
        <v>-169730.53509148816</v>
      </c>
      <c r="G231" s="48">
        <f>($B$5+SUM($D$7:$D231))</f>
        <v>2114438.2416860005</v>
      </c>
    </row>
    <row r="232" spans="2:7">
      <c r="B232" s="45">
        <f>'Ипотечный калькулятор'!$C$21</f>
        <v>0.29000000000000004</v>
      </c>
      <c r="C232" s="47">
        <v>226</v>
      </c>
      <c r="D232" s="48">
        <f>PPMT($B232/12,1,$C$5-C232+1,$B$5+SUM($D$7:D231),0)</f>
        <v>-118631.61091740982</v>
      </c>
      <c r="E232" s="48">
        <f>-($B$5+SUM($D$7:$D231))*$B232/12</f>
        <v>-51098.924174078355</v>
      </c>
      <c r="F232" s="48">
        <f t="shared" si="3"/>
        <v>-169730.53509148819</v>
      </c>
      <c r="G232" s="48">
        <f>($B$5+SUM($D$7:$D232))</f>
        <v>1995806.6307685906</v>
      </c>
    </row>
    <row r="233" spans="2:7">
      <c r="B233" s="45">
        <f>'Ипотечный калькулятор'!$C$21</f>
        <v>0.29000000000000004</v>
      </c>
      <c r="C233" s="46">
        <v>227</v>
      </c>
      <c r="D233" s="48">
        <f>PPMT($B233/12,1,$C$5-C233+1,$B$5+SUM($D$7:D232),0)</f>
        <v>-121498.54151458053</v>
      </c>
      <c r="E233" s="48">
        <f>-($B$5+SUM($D$7:$D232))*$B233/12</f>
        <v>-48231.993576907611</v>
      </c>
      <c r="F233" s="48">
        <f t="shared" si="3"/>
        <v>-169730.53509148816</v>
      </c>
      <c r="G233" s="48">
        <f>($B$5+SUM($D$7:$D233))</f>
        <v>1874308.0892540105</v>
      </c>
    </row>
    <row r="234" spans="2:7">
      <c r="B234" s="45">
        <f>'Ипотечный калькулятор'!$C$21</f>
        <v>0.29000000000000004</v>
      </c>
      <c r="C234" s="47">
        <v>228</v>
      </c>
      <c r="D234" s="48">
        <f>PPMT($B234/12,1,$C$5-C234+1,$B$5+SUM($D$7:D233),0)</f>
        <v>-124434.7562678496</v>
      </c>
      <c r="E234" s="48">
        <f>-($B$5+SUM($D$7:$D233))*$B234/12</f>
        <v>-45295.77882363859</v>
      </c>
      <c r="F234" s="48">
        <f t="shared" si="3"/>
        <v>-169730.53509148819</v>
      </c>
      <c r="G234" s="48">
        <f>($B$5+SUM($D$7:$D234))</f>
        <v>1749873.3329861611</v>
      </c>
    </row>
    <row r="235" spans="2:7">
      <c r="B235" s="45">
        <f>'Ипотечный калькулятор'!$C$21</f>
        <v>0.29000000000000004</v>
      </c>
      <c r="C235" s="46">
        <v>229</v>
      </c>
      <c r="D235" s="48">
        <f>PPMT($B235/12,1,$C$5-C235+1,$B$5+SUM($D$7:D234),0)</f>
        <v>-127441.92954432264</v>
      </c>
      <c r="E235" s="48">
        <f>-($B$5+SUM($D$7:$D234))*$B235/12</f>
        <v>-42288.605547165564</v>
      </c>
      <c r="F235" s="48">
        <f t="shared" si="3"/>
        <v>-169730.53509148821</v>
      </c>
      <c r="G235" s="48">
        <f>($B$5+SUM($D$7:$D235))</f>
        <v>1622431.4034418389</v>
      </c>
    </row>
    <row r="236" spans="2:7">
      <c r="B236" s="45">
        <f>'Ипотечный калькулятор'!$C$21</f>
        <v>0.29000000000000004</v>
      </c>
      <c r="C236" s="47">
        <v>230</v>
      </c>
      <c r="D236" s="48">
        <f>PPMT($B236/12,1,$C$5-C236+1,$B$5+SUM($D$7:D235),0)</f>
        <v>-130521.77617497715</v>
      </c>
      <c r="E236" s="48">
        <f>-($B$5+SUM($D$7:$D235))*$B236/12</f>
        <v>-39208.758916511113</v>
      </c>
      <c r="F236" s="48">
        <f t="shared" si="3"/>
        <v>-169730.53509148827</v>
      </c>
      <c r="G236" s="48">
        <f>($B$5+SUM($D$7:$D236))</f>
        <v>1491909.6272668615</v>
      </c>
    </row>
    <row r="237" spans="2:7">
      <c r="B237" s="45">
        <f>'Ипотечный калькулятор'!$C$21</f>
        <v>0.29000000000000004</v>
      </c>
      <c r="C237" s="46">
        <v>231</v>
      </c>
      <c r="D237" s="48">
        <f>PPMT($B237/12,1,$C$5-C237+1,$B$5+SUM($D$7:D236),0)</f>
        <v>-133676.05243253909</v>
      </c>
      <c r="E237" s="48">
        <f>-($B$5+SUM($D$7:$D236))*$B237/12</f>
        <v>-36054.482658949157</v>
      </c>
      <c r="F237" s="48">
        <f t="shared" si="3"/>
        <v>-169730.53509148824</v>
      </c>
      <c r="G237" s="48">
        <f>($B$5+SUM($D$7:$D237))</f>
        <v>1358233.5748343226</v>
      </c>
    </row>
    <row r="238" spans="2:7">
      <c r="B238" s="45">
        <f>'Ипотечный калькулятор'!$C$21</f>
        <v>0.29000000000000004</v>
      </c>
      <c r="C238" s="47">
        <v>232</v>
      </c>
      <c r="D238" s="48">
        <f>PPMT($B238/12,1,$C$5-C238+1,$B$5+SUM($D$7:D237),0)</f>
        <v>-136906.55703299207</v>
      </c>
      <c r="E238" s="48">
        <f>-($B$5+SUM($D$7:$D237))*$B238/12</f>
        <v>-32823.978058496134</v>
      </c>
      <c r="F238" s="48">
        <f t="shared" si="3"/>
        <v>-169730.53509148821</v>
      </c>
      <c r="G238" s="48">
        <f>($B$5+SUM($D$7:$D238))</f>
        <v>1221327.0178013304</v>
      </c>
    </row>
    <row r="239" spans="2:7">
      <c r="B239" s="45">
        <f>'Ипотечный калькулятор'!$C$21</f>
        <v>0.29000000000000004</v>
      </c>
      <c r="C239" s="46">
        <v>233</v>
      </c>
      <c r="D239" s="48">
        <f>PPMT($B239/12,1,$C$5-C239+1,$B$5+SUM($D$7:D238),0)</f>
        <v>-140215.13216128942</v>
      </c>
      <c r="E239" s="48">
        <f>-($B$5+SUM($D$7:$D238))*$B239/12</f>
        <v>-29515.402930198823</v>
      </c>
      <c r="F239" s="48">
        <f t="shared" si="3"/>
        <v>-169730.53509148824</v>
      </c>
      <c r="G239" s="48">
        <f>($B$5+SUM($D$7:$D239))</f>
        <v>1081111.885640041</v>
      </c>
    </row>
    <row r="240" spans="2:7">
      <c r="B240" s="45">
        <f>'Ипотечный калькулятор'!$C$21</f>
        <v>0.29000000000000004</v>
      </c>
      <c r="C240" s="47">
        <v>234</v>
      </c>
      <c r="D240" s="48">
        <f>PPMT($B240/12,1,$C$5-C240+1,$B$5+SUM($D$7:D239),0)</f>
        <v>-143603.66452185388</v>
      </c>
      <c r="E240" s="48">
        <f>-($B$5+SUM($D$7:$D239))*$B240/12</f>
        <v>-26126.870569634328</v>
      </c>
      <c r="F240" s="48">
        <f t="shared" si="3"/>
        <v>-169730.53509148821</v>
      </c>
      <c r="G240" s="48">
        <f>($B$5+SUM($D$7:$D240))</f>
        <v>937508.22111818753</v>
      </c>
    </row>
    <row r="241" spans="2:7">
      <c r="B241" s="45">
        <f>'Ипотечный калькулятор'!$C$21</f>
        <v>0.29000000000000004</v>
      </c>
      <c r="C241" s="46">
        <v>235</v>
      </c>
      <c r="D241" s="48">
        <f>PPMT($B241/12,1,$C$5-C241+1,$B$5+SUM($D$7:D240),0)</f>
        <v>-147074.08641446545</v>
      </c>
      <c r="E241" s="48">
        <f>-($B$5+SUM($D$7:$D240))*$B241/12</f>
        <v>-22656.448677022869</v>
      </c>
      <c r="F241" s="48">
        <f t="shared" si="3"/>
        <v>-169730.53509148833</v>
      </c>
      <c r="G241" s="48">
        <f>($B$5+SUM($D$7:$D241))</f>
        <v>790434.13470372185</v>
      </c>
    </row>
    <row r="242" spans="2:7">
      <c r="B242" s="45">
        <f>'Ипотечный калькулятор'!$C$21</f>
        <v>0.29000000000000004</v>
      </c>
      <c r="C242" s="47">
        <v>236</v>
      </c>
      <c r="D242" s="48">
        <f>PPMT($B242/12,1,$C$5-C242+1,$B$5+SUM($D$7:D241),0)</f>
        <v>-150628.37683614832</v>
      </c>
      <c r="E242" s="48">
        <f>-($B$5+SUM($D$7:$D241))*$B242/12</f>
        <v>-19102.158255339946</v>
      </c>
      <c r="F242" s="48">
        <f t="shared" si="3"/>
        <v>-169730.53509148827</v>
      </c>
      <c r="G242" s="48">
        <f>($B$5+SUM($D$7:$D242))</f>
        <v>639805.75786757376</v>
      </c>
    </row>
    <row r="243" spans="2:7">
      <c r="B243" s="45">
        <f>'Ипотечный калькулятор'!$C$21</f>
        <v>0.29000000000000004</v>
      </c>
      <c r="C243" s="46">
        <v>237</v>
      </c>
      <c r="D243" s="48">
        <f>PPMT($B243/12,1,$C$5-C243+1,$B$5+SUM($D$7:D242),0)</f>
        <v>-154268.56260968861</v>
      </c>
      <c r="E243" s="48">
        <f>-($B$5+SUM($D$7:$D242))*$B243/12</f>
        <v>-15461.972481799699</v>
      </c>
      <c r="F243" s="48">
        <f t="shared" si="3"/>
        <v>-169730.5350914883</v>
      </c>
      <c r="G243" s="48">
        <f>($B$5+SUM($D$7:$D243))</f>
        <v>485537.19525788538</v>
      </c>
    </row>
    <row r="244" spans="2:7">
      <c r="B244" s="45">
        <f>'Ипотечный калькулятор'!$C$21</f>
        <v>0.29000000000000004</v>
      </c>
      <c r="C244" s="47">
        <v>238</v>
      </c>
      <c r="D244" s="48">
        <f>PPMT($B244/12,1,$C$5-C244+1,$B$5+SUM($D$7:D243),0)</f>
        <v>-157996.71953942283</v>
      </c>
      <c r="E244" s="48">
        <f>-($B$5+SUM($D$7:$D243))*$B244/12</f>
        <v>-11733.815552065564</v>
      </c>
      <c r="F244" s="48">
        <f t="shared" si="3"/>
        <v>-169730.53509148839</v>
      </c>
      <c r="G244" s="48">
        <f>($B$5+SUM($D$7:$D244))</f>
        <v>327540.47571846284</v>
      </c>
    </row>
    <row r="245" spans="2:7">
      <c r="B245" s="45">
        <f>'Ипотечный калькулятор'!$C$21</f>
        <v>0.29000000000000004</v>
      </c>
      <c r="C245" s="46">
        <v>239</v>
      </c>
      <c r="D245" s="48">
        <f>PPMT($B245/12,1,$C$5-C245+1,$B$5+SUM($D$7:D244),0)</f>
        <v>-161814.97359495901</v>
      </c>
      <c r="E245" s="48">
        <f>-($B$5+SUM($D$7:$D244))*$B245/12</f>
        <v>-7915.5614965295199</v>
      </c>
      <c r="F245" s="48">
        <f t="shared" si="3"/>
        <v>-169730.53509148853</v>
      </c>
      <c r="G245" s="48">
        <f>($B$5+SUM($D$7:$D245))</f>
        <v>165725.50212350395</v>
      </c>
    </row>
    <row r="246" spans="2:7">
      <c r="B246" s="45">
        <f>'Ипотечный калькулятор'!$C$21</f>
        <v>0.29000000000000004</v>
      </c>
      <c r="C246" s="47">
        <v>240</v>
      </c>
      <c r="D246" s="48">
        <f>PPMT($B246/12,1,$C$5-C246+1,$B$5+SUM($D$7:D245),0)</f>
        <v>-165725.50212350395</v>
      </c>
      <c r="E246" s="48">
        <f>-($B$5+SUM($D$7:$D245))*$B246/12</f>
        <v>-4005.0329679846795</v>
      </c>
      <c r="F246" s="48">
        <f t="shared" si="3"/>
        <v>-169730.53509148862</v>
      </c>
      <c r="G246" s="48">
        <f>($B$5+SUM($D$7:$D246))</f>
        <v>0</v>
      </c>
    </row>
    <row r="247" spans="2:7">
      <c r="B247" s="45">
        <f>'Ипотечный калькулятор'!$C$21</f>
        <v>0.29000000000000004</v>
      </c>
      <c r="C247" s="47">
        <v>241</v>
      </c>
      <c r="D247" s="48" t="e">
        <f>PPMT($B247/12,1,$C$5-C247+1,$B$5+SUM($D$7:D246),0)</f>
        <v>#NUM!</v>
      </c>
      <c r="E247" s="48">
        <f>-($B$5+SUM($D$7:$D246))*$B247/12</f>
        <v>0</v>
      </c>
      <c r="F247" s="48" t="e">
        <f t="shared" ref="F247:F310" si="4">SUM(D247:E247)</f>
        <v>#NUM!</v>
      </c>
      <c r="G247" s="48" t="e">
        <f>($B$5+SUM($D$7:$D247))</f>
        <v>#NUM!</v>
      </c>
    </row>
    <row r="248" spans="2:7">
      <c r="B248" s="45">
        <f>'Ипотечный калькулятор'!$C$21</f>
        <v>0.29000000000000004</v>
      </c>
      <c r="C248" s="47">
        <v>242</v>
      </c>
      <c r="D248" s="48" t="e">
        <f>PPMT($B248/12,1,$C$5-C248+1,$B$5+SUM($D$7:D247),0)</f>
        <v>#NUM!</v>
      </c>
      <c r="E248" s="48" t="e">
        <f>-($B$5+SUM($D$7:$D247))*$B248/12</f>
        <v>#NUM!</v>
      </c>
      <c r="F248" s="48" t="e">
        <f t="shared" si="4"/>
        <v>#NUM!</v>
      </c>
      <c r="G248" s="48" t="e">
        <f>($B$5+SUM($D$7:$D248))</f>
        <v>#NUM!</v>
      </c>
    </row>
    <row r="249" spans="2:7">
      <c r="B249" s="45">
        <f>'Ипотечный калькулятор'!$C$21</f>
        <v>0.29000000000000004</v>
      </c>
      <c r="C249" s="47">
        <v>243</v>
      </c>
      <c r="D249" s="48" t="e">
        <f>PPMT($B249/12,1,$C$5-C249+1,$B$5+SUM($D$7:D248),0)</f>
        <v>#NUM!</v>
      </c>
      <c r="E249" s="48" t="e">
        <f>-($B$5+SUM($D$7:$D248))*$B249/12</f>
        <v>#NUM!</v>
      </c>
      <c r="F249" s="48" t="e">
        <f t="shared" si="4"/>
        <v>#NUM!</v>
      </c>
      <c r="G249" s="48" t="e">
        <f>($B$5+SUM($D$7:$D249))</f>
        <v>#NUM!</v>
      </c>
    </row>
    <row r="250" spans="2:7">
      <c r="B250" s="45">
        <f>'Ипотечный калькулятор'!$C$21</f>
        <v>0.29000000000000004</v>
      </c>
      <c r="C250" s="47">
        <v>244</v>
      </c>
      <c r="D250" s="48" t="e">
        <f>PPMT($B250/12,1,$C$5-C250+1,$B$5+SUM($D$7:D249),0)</f>
        <v>#NUM!</v>
      </c>
      <c r="E250" s="48" t="e">
        <f>-($B$5+SUM($D$7:$D249))*$B250/12</f>
        <v>#NUM!</v>
      </c>
      <c r="F250" s="48" t="e">
        <f t="shared" si="4"/>
        <v>#NUM!</v>
      </c>
      <c r="G250" s="48" t="e">
        <f>($B$5+SUM($D$7:$D250))</f>
        <v>#NUM!</v>
      </c>
    </row>
    <row r="251" spans="2:7">
      <c r="B251" s="45">
        <f>'Ипотечный калькулятор'!$C$21</f>
        <v>0.29000000000000004</v>
      </c>
      <c r="C251" s="47">
        <v>245</v>
      </c>
      <c r="D251" s="48" t="e">
        <f>PPMT($B251/12,1,$C$5-C251+1,$B$5+SUM($D$7:D250),0)</f>
        <v>#NUM!</v>
      </c>
      <c r="E251" s="48" t="e">
        <f>-($B$5+SUM($D$7:$D250))*$B251/12</f>
        <v>#NUM!</v>
      </c>
      <c r="F251" s="48" t="e">
        <f t="shared" si="4"/>
        <v>#NUM!</v>
      </c>
      <c r="G251" s="48" t="e">
        <f>($B$5+SUM($D$7:$D251))</f>
        <v>#NUM!</v>
      </c>
    </row>
    <row r="252" spans="2:7">
      <c r="B252" s="45">
        <f>'Ипотечный калькулятор'!$C$21</f>
        <v>0.29000000000000004</v>
      </c>
      <c r="C252" s="47">
        <v>246</v>
      </c>
      <c r="D252" s="48" t="e">
        <f>PPMT($B252/12,1,$C$5-C252+1,$B$5+SUM($D$7:D251),0)</f>
        <v>#NUM!</v>
      </c>
      <c r="E252" s="48" t="e">
        <f>-($B$5+SUM($D$7:$D251))*$B252/12</f>
        <v>#NUM!</v>
      </c>
      <c r="F252" s="48" t="e">
        <f t="shared" si="4"/>
        <v>#NUM!</v>
      </c>
      <c r="G252" s="48" t="e">
        <f>($B$5+SUM($D$7:$D252))</f>
        <v>#NUM!</v>
      </c>
    </row>
    <row r="253" spans="2:7">
      <c r="B253" s="45">
        <f>'Ипотечный калькулятор'!$C$21</f>
        <v>0.29000000000000004</v>
      </c>
      <c r="C253" s="47">
        <v>247</v>
      </c>
      <c r="D253" s="48" t="e">
        <f>PPMT($B253/12,1,$C$5-C253+1,$B$5+SUM($D$7:D252),0)</f>
        <v>#NUM!</v>
      </c>
      <c r="E253" s="48" t="e">
        <f>-($B$5+SUM($D$7:$D252))*$B253/12</f>
        <v>#NUM!</v>
      </c>
      <c r="F253" s="48" t="e">
        <f t="shared" si="4"/>
        <v>#NUM!</v>
      </c>
      <c r="G253" s="48" t="e">
        <f>($B$5+SUM($D$7:$D253))</f>
        <v>#NUM!</v>
      </c>
    </row>
    <row r="254" spans="2:7">
      <c r="B254" s="45">
        <f>'Ипотечный калькулятор'!$C$21</f>
        <v>0.29000000000000004</v>
      </c>
      <c r="C254" s="47">
        <v>248</v>
      </c>
      <c r="D254" s="48" t="e">
        <f>PPMT($B254/12,1,$C$5-C254+1,$B$5+SUM($D$7:D253),0)</f>
        <v>#NUM!</v>
      </c>
      <c r="E254" s="48" t="e">
        <f>-($B$5+SUM($D$7:$D253))*$B254/12</f>
        <v>#NUM!</v>
      </c>
      <c r="F254" s="48" t="e">
        <f t="shared" si="4"/>
        <v>#NUM!</v>
      </c>
      <c r="G254" s="48" t="e">
        <f>($B$5+SUM($D$7:$D254))</f>
        <v>#NUM!</v>
      </c>
    </row>
    <row r="255" spans="2:7">
      <c r="B255" s="45">
        <f>'Ипотечный калькулятор'!$C$21</f>
        <v>0.29000000000000004</v>
      </c>
      <c r="C255" s="47">
        <v>249</v>
      </c>
      <c r="D255" s="48" t="e">
        <f>PPMT($B255/12,1,$C$5-C255+1,$B$5+SUM($D$7:D254),0)</f>
        <v>#NUM!</v>
      </c>
      <c r="E255" s="48" t="e">
        <f>-($B$5+SUM($D$7:$D254))*$B255/12</f>
        <v>#NUM!</v>
      </c>
      <c r="F255" s="48" t="e">
        <f t="shared" si="4"/>
        <v>#NUM!</v>
      </c>
      <c r="G255" s="48" t="e">
        <f>($B$5+SUM($D$7:$D255))</f>
        <v>#NUM!</v>
      </c>
    </row>
    <row r="256" spans="2:7">
      <c r="B256" s="45">
        <f>'Ипотечный калькулятор'!$C$21</f>
        <v>0.29000000000000004</v>
      </c>
      <c r="C256" s="47">
        <v>250</v>
      </c>
      <c r="D256" s="48" t="e">
        <f>PPMT($B256/12,1,$C$5-C256+1,$B$5+SUM($D$7:D255),0)</f>
        <v>#NUM!</v>
      </c>
      <c r="E256" s="48" t="e">
        <f>-($B$5+SUM($D$7:$D255))*$B256/12</f>
        <v>#NUM!</v>
      </c>
      <c r="F256" s="48" t="e">
        <f t="shared" si="4"/>
        <v>#NUM!</v>
      </c>
      <c r="G256" s="48" t="e">
        <f>($B$5+SUM($D$7:$D256))</f>
        <v>#NUM!</v>
      </c>
    </row>
    <row r="257" spans="2:7">
      <c r="B257" s="45">
        <f>'Ипотечный калькулятор'!$C$21</f>
        <v>0.29000000000000004</v>
      </c>
      <c r="C257" s="47">
        <v>251</v>
      </c>
      <c r="D257" s="48" t="e">
        <f>PPMT($B257/12,1,$C$5-C257+1,$B$5+SUM($D$7:D256),0)</f>
        <v>#NUM!</v>
      </c>
      <c r="E257" s="48" t="e">
        <f>-($B$5+SUM($D$7:$D256))*$B257/12</f>
        <v>#NUM!</v>
      </c>
      <c r="F257" s="48" t="e">
        <f t="shared" si="4"/>
        <v>#NUM!</v>
      </c>
      <c r="G257" s="48" t="e">
        <f>($B$5+SUM($D$7:$D257))</f>
        <v>#NUM!</v>
      </c>
    </row>
    <row r="258" spans="2:7">
      <c r="B258" s="45">
        <f>'Ипотечный калькулятор'!$C$21</f>
        <v>0.29000000000000004</v>
      </c>
      <c r="C258" s="47">
        <v>252</v>
      </c>
      <c r="D258" s="48" t="e">
        <f>PPMT($B258/12,1,$C$5-C258+1,$B$5+SUM($D$7:D257),0)</f>
        <v>#NUM!</v>
      </c>
      <c r="E258" s="48" t="e">
        <f>-($B$5+SUM($D$7:$D257))*$B258/12</f>
        <v>#NUM!</v>
      </c>
      <c r="F258" s="48" t="e">
        <f t="shared" si="4"/>
        <v>#NUM!</v>
      </c>
      <c r="G258" s="48" t="e">
        <f>($B$5+SUM($D$7:$D258))</f>
        <v>#NUM!</v>
      </c>
    </row>
    <row r="259" spans="2:7">
      <c r="B259" s="45">
        <f>'Ипотечный калькулятор'!$C$21</f>
        <v>0.29000000000000004</v>
      </c>
      <c r="C259" s="47">
        <v>253</v>
      </c>
      <c r="D259" s="48" t="e">
        <f>PPMT($B259/12,1,$C$5-C259+1,$B$5+SUM($D$7:D258),0)</f>
        <v>#NUM!</v>
      </c>
      <c r="E259" s="48" t="e">
        <f>-($B$5+SUM($D$7:$D258))*$B259/12</f>
        <v>#NUM!</v>
      </c>
      <c r="F259" s="48" t="e">
        <f t="shared" si="4"/>
        <v>#NUM!</v>
      </c>
      <c r="G259" s="48" t="e">
        <f>($B$5+SUM($D$7:$D259))</f>
        <v>#NUM!</v>
      </c>
    </row>
    <row r="260" spans="2:7">
      <c r="B260" s="45">
        <f>'Ипотечный калькулятор'!$C$21</f>
        <v>0.29000000000000004</v>
      </c>
      <c r="C260" s="47">
        <v>254</v>
      </c>
      <c r="D260" s="48" t="e">
        <f>PPMT($B260/12,1,$C$5-C260+1,$B$5+SUM($D$7:D259),0)</f>
        <v>#NUM!</v>
      </c>
      <c r="E260" s="48" t="e">
        <f>-($B$5+SUM($D$7:$D259))*$B260/12</f>
        <v>#NUM!</v>
      </c>
      <c r="F260" s="48" t="e">
        <f t="shared" si="4"/>
        <v>#NUM!</v>
      </c>
      <c r="G260" s="48" t="e">
        <f>($B$5+SUM($D$7:$D260))</f>
        <v>#NUM!</v>
      </c>
    </row>
    <row r="261" spans="2:7">
      <c r="B261" s="45">
        <f>'Ипотечный калькулятор'!$C$21</f>
        <v>0.29000000000000004</v>
      </c>
      <c r="C261" s="47">
        <v>255</v>
      </c>
      <c r="D261" s="48" t="e">
        <f>PPMT($B261/12,1,$C$5-C261+1,$B$5+SUM($D$7:D260),0)</f>
        <v>#NUM!</v>
      </c>
      <c r="E261" s="48" t="e">
        <f>-($B$5+SUM($D$7:$D260))*$B261/12</f>
        <v>#NUM!</v>
      </c>
      <c r="F261" s="48" t="e">
        <f t="shared" si="4"/>
        <v>#NUM!</v>
      </c>
      <c r="G261" s="48" t="e">
        <f>($B$5+SUM($D$7:$D261))</f>
        <v>#NUM!</v>
      </c>
    </row>
    <row r="262" spans="2:7">
      <c r="B262" s="45">
        <f>'Ипотечный калькулятор'!$C$21</f>
        <v>0.29000000000000004</v>
      </c>
      <c r="C262" s="47">
        <v>256</v>
      </c>
      <c r="D262" s="48" t="e">
        <f>PPMT($B262/12,1,$C$5-C262+1,$B$5+SUM($D$7:D261),0)</f>
        <v>#NUM!</v>
      </c>
      <c r="E262" s="48" t="e">
        <f>-($B$5+SUM($D$7:$D261))*$B262/12</f>
        <v>#NUM!</v>
      </c>
      <c r="F262" s="48" t="e">
        <f t="shared" si="4"/>
        <v>#NUM!</v>
      </c>
      <c r="G262" s="48" t="e">
        <f>($B$5+SUM($D$7:$D262))</f>
        <v>#NUM!</v>
      </c>
    </row>
    <row r="263" spans="2:7">
      <c r="B263" s="45">
        <f>'Ипотечный калькулятор'!$C$21</f>
        <v>0.29000000000000004</v>
      </c>
      <c r="C263" s="47">
        <v>257</v>
      </c>
      <c r="D263" s="48" t="e">
        <f>PPMT($B263/12,1,$C$5-C263+1,$B$5+SUM($D$7:D262),0)</f>
        <v>#NUM!</v>
      </c>
      <c r="E263" s="48" t="e">
        <f>-($B$5+SUM($D$7:$D262))*$B263/12</f>
        <v>#NUM!</v>
      </c>
      <c r="F263" s="48" t="e">
        <f t="shared" si="4"/>
        <v>#NUM!</v>
      </c>
      <c r="G263" s="48" t="e">
        <f>($B$5+SUM($D$7:$D263))</f>
        <v>#NUM!</v>
      </c>
    </row>
    <row r="264" spans="2:7">
      <c r="B264" s="45">
        <f>'Ипотечный калькулятор'!$C$21</f>
        <v>0.29000000000000004</v>
      </c>
      <c r="C264" s="47">
        <v>258</v>
      </c>
      <c r="D264" s="48" t="e">
        <f>PPMT($B264/12,1,$C$5-C264+1,$B$5+SUM($D$7:D263),0)</f>
        <v>#NUM!</v>
      </c>
      <c r="E264" s="48" t="e">
        <f>-($B$5+SUM($D$7:$D263))*$B264/12</f>
        <v>#NUM!</v>
      </c>
      <c r="F264" s="48" t="e">
        <f t="shared" si="4"/>
        <v>#NUM!</v>
      </c>
      <c r="G264" s="48" t="e">
        <f>($B$5+SUM($D$7:$D264))</f>
        <v>#NUM!</v>
      </c>
    </row>
    <row r="265" spans="2:7">
      <c r="B265" s="45">
        <f>'Ипотечный калькулятор'!$C$21</f>
        <v>0.29000000000000004</v>
      </c>
      <c r="C265" s="47">
        <v>259</v>
      </c>
      <c r="D265" s="48" t="e">
        <f>PPMT($B265/12,1,$C$5-C265+1,$B$5+SUM($D$7:D264),0)</f>
        <v>#NUM!</v>
      </c>
      <c r="E265" s="48" t="e">
        <f>-($B$5+SUM($D$7:$D264))*$B265/12</f>
        <v>#NUM!</v>
      </c>
      <c r="F265" s="48" t="e">
        <f t="shared" si="4"/>
        <v>#NUM!</v>
      </c>
      <c r="G265" s="48" t="e">
        <f>($B$5+SUM($D$7:$D265))</f>
        <v>#NUM!</v>
      </c>
    </row>
    <row r="266" spans="2:7">
      <c r="B266" s="45">
        <f>'Ипотечный калькулятор'!$C$21</f>
        <v>0.29000000000000004</v>
      </c>
      <c r="C266" s="47">
        <v>260</v>
      </c>
      <c r="D266" s="48" t="e">
        <f>PPMT($B266/12,1,$C$5-C266+1,$B$5+SUM($D$7:D265),0)</f>
        <v>#NUM!</v>
      </c>
      <c r="E266" s="48" t="e">
        <f>-($B$5+SUM($D$7:$D265))*$B266/12</f>
        <v>#NUM!</v>
      </c>
      <c r="F266" s="48" t="e">
        <f t="shared" si="4"/>
        <v>#NUM!</v>
      </c>
      <c r="G266" s="48" t="e">
        <f>($B$5+SUM($D$7:$D266))</f>
        <v>#NUM!</v>
      </c>
    </row>
    <row r="267" spans="2:7">
      <c r="B267" s="45">
        <f>'Ипотечный калькулятор'!$C$21</f>
        <v>0.29000000000000004</v>
      </c>
      <c r="C267" s="47">
        <v>261</v>
      </c>
      <c r="D267" s="48" t="e">
        <f>PPMT($B267/12,1,$C$5-C267+1,$B$5+SUM($D$7:D266),0)</f>
        <v>#NUM!</v>
      </c>
      <c r="E267" s="48" t="e">
        <f>-($B$5+SUM($D$7:$D266))*$B267/12</f>
        <v>#NUM!</v>
      </c>
      <c r="F267" s="48" t="e">
        <f t="shared" si="4"/>
        <v>#NUM!</v>
      </c>
      <c r="G267" s="48" t="e">
        <f>($B$5+SUM($D$7:$D267))</f>
        <v>#NUM!</v>
      </c>
    </row>
    <row r="268" spans="2:7">
      <c r="B268" s="45">
        <f>'Ипотечный калькулятор'!$C$21</f>
        <v>0.29000000000000004</v>
      </c>
      <c r="C268" s="47">
        <v>262</v>
      </c>
      <c r="D268" s="48" t="e">
        <f>PPMT($B268/12,1,$C$5-C268+1,$B$5+SUM($D$7:D267),0)</f>
        <v>#NUM!</v>
      </c>
      <c r="E268" s="48" t="e">
        <f>-($B$5+SUM($D$7:$D267))*$B268/12</f>
        <v>#NUM!</v>
      </c>
      <c r="F268" s="48" t="e">
        <f t="shared" si="4"/>
        <v>#NUM!</v>
      </c>
      <c r="G268" s="48" t="e">
        <f>($B$5+SUM($D$7:$D268))</f>
        <v>#NUM!</v>
      </c>
    </row>
    <row r="269" spans="2:7">
      <c r="B269" s="45">
        <f>'Ипотечный калькулятор'!$C$21</f>
        <v>0.29000000000000004</v>
      </c>
      <c r="C269" s="47">
        <v>263</v>
      </c>
      <c r="D269" s="48" t="e">
        <f>PPMT($B269/12,1,$C$5-C269+1,$B$5+SUM($D$7:D268),0)</f>
        <v>#NUM!</v>
      </c>
      <c r="E269" s="48" t="e">
        <f>-($B$5+SUM($D$7:$D268))*$B269/12</f>
        <v>#NUM!</v>
      </c>
      <c r="F269" s="48" t="e">
        <f t="shared" si="4"/>
        <v>#NUM!</v>
      </c>
      <c r="G269" s="48" t="e">
        <f>($B$5+SUM($D$7:$D269))</f>
        <v>#NUM!</v>
      </c>
    </row>
    <row r="270" spans="2:7">
      <c r="B270" s="45">
        <f>'Ипотечный калькулятор'!$C$21</f>
        <v>0.29000000000000004</v>
      </c>
      <c r="C270" s="47">
        <v>264</v>
      </c>
      <c r="D270" s="48" t="e">
        <f>PPMT($B270/12,1,$C$5-C270+1,$B$5+SUM($D$7:D269),0)</f>
        <v>#NUM!</v>
      </c>
      <c r="E270" s="48" t="e">
        <f>-($B$5+SUM($D$7:$D269))*$B270/12</f>
        <v>#NUM!</v>
      </c>
      <c r="F270" s="48" t="e">
        <f t="shared" si="4"/>
        <v>#NUM!</v>
      </c>
      <c r="G270" s="48" t="e">
        <f>($B$5+SUM($D$7:$D270))</f>
        <v>#NUM!</v>
      </c>
    </row>
    <row r="271" spans="2:7">
      <c r="B271" s="45">
        <f>'Ипотечный калькулятор'!$C$21</f>
        <v>0.29000000000000004</v>
      </c>
      <c r="C271" s="47">
        <v>265</v>
      </c>
      <c r="D271" s="48" t="e">
        <f>PPMT($B271/12,1,$C$5-C271+1,$B$5+SUM($D$7:D270),0)</f>
        <v>#NUM!</v>
      </c>
      <c r="E271" s="48" t="e">
        <f>-($B$5+SUM($D$7:$D270))*$B271/12</f>
        <v>#NUM!</v>
      </c>
      <c r="F271" s="48" t="e">
        <f t="shared" si="4"/>
        <v>#NUM!</v>
      </c>
      <c r="G271" s="48" t="e">
        <f>($B$5+SUM($D$7:$D271))</f>
        <v>#NUM!</v>
      </c>
    </row>
    <row r="272" spans="2:7">
      <c r="B272" s="45">
        <f>'Ипотечный калькулятор'!$C$21</f>
        <v>0.29000000000000004</v>
      </c>
      <c r="C272" s="47">
        <v>266</v>
      </c>
      <c r="D272" s="48" t="e">
        <f>PPMT($B272/12,1,$C$5-C272+1,$B$5+SUM($D$7:D271),0)</f>
        <v>#NUM!</v>
      </c>
      <c r="E272" s="48" t="e">
        <f>-($B$5+SUM($D$7:$D271))*$B272/12</f>
        <v>#NUM!</v>
      </c>
      <c r="F272" s="48" t="e">
        <f t="shared" si="4"/>
        <v>#NUM!</v>
      </c>
      <c r="G272" s="48" t="e">
        <f>($B$5+SUM($D$7:$D272))</f>
        <v>#NUM!</v>
      </c>
    </row>
    <row r="273" spans="2:7">
      <c r="B273" s="45">
        <f>'Ипотечный калькулятор'!$C$21</f>
        <v>0.29000000000000004</v>
      </c>
      <c r="C273" s="47">
        <v>267</v>
      </c>
      <c r="D273" s="48" t="e">
        <f>PPMT($B273/12,1,$C$5-C273+1,$B$5+SUM($D$7:D272),0)</f>
        <v>#NUM!</v>
      </c>
      <c r="E273" s="48" t="e">
        <f>-($B$5+SUM($D$7:$D272))*$B273/12</f>
        <v>#NUM!</v>
      </c>
      <c r="F273" s="48" t="e">
        <f t="shared" si="4"/>
        <v>#NUM!</v>
      </c>
      <c r="G273" s="48" t="e">
        <f>($B$5+SUM($D$7:$D273))</f>
        <v>#NUM!</v>
      </c>
    </row>
    <row r="274" spans="2:7">
      <c r="B274" s="45">
        <f>'Ипотечный калькулятор'!$C$21</f>
        <v>0.29000000000000004</v>
      </c>
      <c r="C274" s="47">
        <v>268</v>
      </c>
      <c r="D274" s="48" t="e">
        <f>PPMT($B274/12,1,$C$5-C274+1,$B$5+SUM($D$7:D273),0)</f>
        <v>#NUM!</v>
      </c>
      <c r="E274" s="48" t="e">
        <f>-($B$5+SUM($D$7:$D273))*$B274/12</f>
        <v>#NUM!</v>
      </c>
      <c r="F274" s="48" t="e">
        <f t="shared" si="4"/>
        <v>#NUM!</v>
      </c>
      <c r="G274" s="48" t="e">
        <f>($B$5+SUM($D$7:$D274))</f>
        <v>#NUM!</v>
      </c>
    </row>
    <row r="275" spans="2:7">
      <c r="B275" s="45">
        <f>'Ипотечный калькулятор'!$C$21</f>
        <v>0.29000000000000004</v>
      </c>
      <c r="C275" s="47">
        <v>269</v>
      </c>
      <c r="D275" s="48" t="e">
        <f>PPMT($B275/12,1,$C$5-C275+1,$B$5+SUM($D$7:D274),0)</f>
        <v>#NUM!</v>
      </c>
      <c r="E275" s="48" t="e">
        <f>-($B$5+SUM($D$7:$D274))*$B275/12</f>
        <v>#NUM!</v>
      </c>
      <c r="F275" s="48" t="e">
        <f t="shared" si="4"/>
        <v>#NUM!</v>
      </c>
      <c r="G275" s="48" t="e">
        <f>($B$5+SUM($D$7:$D275))</f>
        <v>#NUM!</v>
      </c>
    </row>
    <row r="276" spans="2:7">
      <c r="B276" s="45">
        <f>'Ипотечный калькулятор'!$C$21</f>
        <v>0.29000000000000004</v>
      </c>
      <c r="C276" s="47">
        <v>270</v>
      </c>
      <c r="D276" s="48" t="e">
        <f>PPMT($B276/12,1,$C$5-C276+1,$B$5+SUM($D$7:D275),0)</f>
        <v>#NUM!</v>
      </c>
      <c r="E276" s="48" t="e">
        <f>-($B$5+SUM($D$7:$D275))*$B276/12</f>
        <v>#NUM!</v>
      </c>
      <c r="F276" s="48" t="e">
        <f t="shared" si="4"/>
        <v>#NUM!</v>
      </c>
      <c r="G276" s="48" t="e">
        <f>($B$5+SUM($D$7:$D276))</f>
        <v>#NUM!</v>
      </c>
    </row>
    <row r="277" spans="2:7">
      <c r="B277" s="45">
        <f>'Ипотечный калькулятор'!$C$21</f>
        <v>0.29000000000000004</v>
      </c>
      <c r="C277" s="47">
        <v>271</v>
      </c>
      <c r="D277" s="48" t="e">
        <f>PPMT($B277/12,1,$C$5-C277+1,$B$5+SUM($D$7:D276),0)</f>
        <v>#NUM!</v>
      </c>
      <c r="E277" s="48" t="e">
        <f>-($B$5+SUM($D$7:$D276))*$B277/12</f>
        <v>#NUM!</v>
      </c>
      <c r="F277" s="48" t="e">
        <f t="shared" si="4"/>
        <v>#NUM!</v>
      </c>
      <c r="G277" s="48" t="e">
        <f>($B$5+SUM($D$7:$D277))</f>
        <v>#NUM!</v>
      </c>
    </row>
    <row r="278" spans="2:7">
      <c r="B278" s="45">
        <f>'Ипотечный калькулятор'!$C$21</f>
        <v>0.29000000000000004</v>
      </c>
      <c r="C278" s="47">
        <v>272</v>
      </c>
      <c r="D278" s="48" t="e">
        <f>PPMT($B278/12,1,$C$5-C278+1,$B$5+SUM($D$7:D277),0)</f>
        <v>#NUM!</v>
      </c>
      <c r="E278" s="48" t="e">
        <f>-($B$5+SUM($D$7:$D277))*$B278/12</f>
        <v>#NUM!</v>
      </c>
      <c r="F278" s="48" t="e">
        <f t="shared" si="4"/>
        <v>#NUM!</v>
      </c>
      <c r="G278" s="48" t="e">
        <f>($B$5+SUM($D$7:$D278))</f>
        <v>#NUM!</v>
      </c>
    </row>
    <row r="279" spans="2:7">
      <c r="B279" s="45">
        <f>'Ипотечный калькулятор'!$C$21</f>
        <v>0.29000000000000004</v>
      </c>
      <c r="C279" s="47">
        <v>273</v>
      </c>
      <c r="D279" s="48" t="e">
        <f>PPMT($B279/12,1,$C$5-C279+1,$B$5+SUM($D$7:D278),0)</f>
        <v>#NUM!</v>
      </c>
      <c r="E279" s="48" t="e">
        <f>-($B$5+SUM($D$7:$D278))*$B279/12</f>
        <v>#NUM!</v>
      </c>
      <c r="F279" s="48" t="e">
        <f t="shared" si="4"/>
        <v>#NUM!</v>
      </c>
      <c r="G279" s="48" t="e">
        <f>($B$5+SUM($D$7:$D279))</f>
        <v>#NUM!</v>
      </c>
    </row>
    <row r="280" spans="2:7">
      <c r="B280" s="45">
        <f>'Ипотечный калькулятор'!$C$21</f>
        <v>0.29000000000000004</v>
      </c>
      <c r="C280" s="47">
        <v>274</v>
      </c>
      <c r="D280" s="48" t="e">
        <f>PPMT($B280/12,1,$C$5-C280+1,$B$5+SUM($D$7:D279),0)</f>
        <v>#NUM!</v>
      </c>
      <c r="E280" s="48" t="e">
        <f>-($B$5+SUM($D$7:$D279))*$B280/12</f>
        <v>#NUM!</v>
      </c>
      <c r="F280" s="48" t="e">
        <f t="shared" si="4"/>
        <v>#NUM!</v>
      </c>
      <c r="G280" s="48" t="e">
        <f>($B$5+SUM($D$7:$D280))</f>
        <v>#NUM!</v>
      </c>
    </row>
    <row r="281" spans="2:7">
      <c r="B281" s="45">
        <f>'Ипотечный калькулятор'!$C$21</f>
        <v>0.29000000000000004</v>
      </c>
      <c r="C281" s="47">
        <v>275</v>
      </c>
      <c r="D281" s="48" t="e">
        <f>PPMT($B281/12,1,$C$5-C281+1,$B$5+SUM($D$7:D280),0)</f>
        <v>#NUM!</v>
      </c>
      <c r="E281" s="48" t="e">
        <f>-($B$5+SUM($D$7:$D280))*$B281/12</f>
        <v>#NUM!</v>
      </c>
      <c r="F281" s="48" t="e">
        <f t="shared" si="4"/>
        <v>#NUM!</v>
      </c>
      <c r="G281" s="48" t="e">
        <f>($B$5+SUM($D$7:$D281))</f>
        <v>#NUM!</v>
      </c>
    </row>
    <row r="282" spans="2:7">
      <c r="B282" s="45">
        <f>'Ипотечный калькулятор'!$C$21</f>
        <v>0.29000000000000004</v>
      </c>
      <c r="C282" s="47">
        <v>276</v>
      </c>
      <c r="D282" s="48" t="e">
        <f>PPMT($B282/12,1,$C$5-C282+1,$B$5+SUM($D$7:D281),0)</f>
        <v>#NUM!</v>
      </c>
      <c r="E282" s="48" t="e">
        <f>-($B$5+SUM($D$7:$D281))*$B282/12</f>
        <v>#NUM!</v>
      </c>
      <c r="F282" s="48" t="e">
        <f t="shared" si="4"/>
        <v>#NUM!</v>
      </c>
      <c r="G282" s="48" t="e">
        <f>($B$5+SUM($D$7:$D282))</f>
        <v>#NUM!</v>
      </c>
    </row>
    <row r="283" spans="2:7">
      <c r="B283" s="45">
        <f>'Ипотечный калькулятор'!$C$21</f>
        <v>0.29000000000000004</v>
      </c>
      <c r="C283" s="47">
        <v>277</v>
      </c>
      <c r="D283" s="48" t="e">
        <f>PPMT($B283/12,1,$C$5-C283+1,$B$5+SUM($D$7:D282),0)</f>
        <v>#NUM!</v>
      </c>
      <c r="E283" s="48" t="e">
        <f>-($B$5+SUM($D$7:$D282))*$B283/12</f>
        <v>#NUM!</v>
      </c>
      <c r="F283" s="48" t="e">
        <f t="shared" si="4"/>
        <v>#NUM!</v>
      </c>
      <c r="G283" s="48" t="e">
        <f>($B$5+SUM($D$7:$D283))</f>
        <v>#NUM!</v>
      </c>
    </row>
    <row r="284" spans="2:7">
      <c r="B284" s="45">
        <f>'Ипотечный калькулятор'!$C$21</f>
        <v>0.29000000000000004</v>
      </c>
      <c r="C284" s="47">
        <v>278</v>
      </c>
      <c r="D284" s="48" t="e">
        <f>PPMT($B284/12,1,$C$5-C284+1,$B$5+SUM($D$7:D283),0)</f>
        <v>#NUM!</v>
      </c>
      <c r="E284" s="48" t="e">
        <f>-($B$5+SUM($D$7:$D283))*$B284/12</f>
        <v>#NUM!</v>
      </c>
      <c r="F284" s="48" t="e">
        <f t="shared" si="4"/>
        <v>#NUM!</v>
      </c>
      <c r="G284" s="48" t="e">
        <f>($B$5+SUM($D$7:$D284))</f>
        <v>#NUM!</v>
      </c>
    </row>
    <row r="285" spans="2:7">
      <c r="B285" s="45">
        <f>'Ипотечный калькулятор'!$C$21</f>
        <v>0.29000000000000004</v>
      </c>
      <c r="C285" s="47">
        <v>279</v>
      </c>
      <c r="D285" s="48" t="e">
        <f>PPMT($B285/12,1,$C$5-C285+1,$B$5+SUM($D$7:D284),0)</f>
        <v>#NUM!</v>
      </c>
      <c r="E285" s="48" t="e">
        <f>-($B$5+SUM($D$7:$D284))*$B285/12</f>
        <v>#NUM!</v>
      </c>
      <c r="F285" s="48" t="e">
        <f t="shared" si="4"/>
        <v>#NUM!</v>
      </c>
      <c r="G285" s="48" t="e">
        <f>($B$5+SUM($D$7:$D285))</f>
        <v>#NUM!</v>
      </c>
    </row>
    <row r="286" spans="2:7">
      <c r="B286" s="45">
        <f>'Ипотечный калькулятор'!$C$21</f>
        <v>0.29000000000000004</v>
      </c>
      <c r="C286" s="47">
        <v>280</v>
      </c>
      <c r="D286" s="48" t="e">
        <f>PPMT($B286/12,1,$C$5-C286+1,$B$5+SUM($D$7:D285),0)</f>
        <v>#NUM!</v>
      </c>
      <c r="E286" s="48" t="e">
        <f>-($B$5+SUM($D$7:$D285))*$B286/12</f>
        <v>#NUM!</v>
      </c>
      <c r="F286" s="48" t="e">
        <f t="shared" si="4"/>
        <v>#NUM!</v>
      </c>
      <c r="G286" s="48" t="e">
        <f>($B$5+SUM($D$7:$D286))</f>
        <v>#NUM!</v>
      </c>
    </row>
    <row r="287" spans="2:7">
      <c r="B287" s="45">
        <f>'Ипотечный калькулятор'!$C$21</f>
        <v>0.29000000000000004</v>
      </c>
      <c r="C287" s="47">
        <v>281</v>
      </c>
      <c r="D287" s="48" t="e">
        <f>PPMT($B287/12,1,$C$5-C287+1,$B$5+SUM($D$7:D286),0)</f>
        <v>#NUM!</v>
      </c>
      <c r="E287" s="48" t="e">
        <f>-($B$5+SUM($D$7:$D286))*$B287/12</f>
        <v>#NUM!</v>
      </c>
      <c r="F287" s="48" t="e">
        <f t="shared" si="4"/>
        <v>#NUM!</v>
      </c>
      <c r="G287" s="48" t="e">
        <f>($B$5+SUM($D$7:$D287))</f>
        <v>#NUM!</v>
      </c>
    </row>
    <row r="288" spans="2:7">
      <c r="B288" s="45">
        <f>'Ипотечный калькулятор'!$C$21</f>
        <v>0.29000000000000004</v>
      </c>
      <c r="C288" s="47">
        <v>282</v>
      </c>
      <c r="D288" s="48" t="e">
        <f>PPMT($B288/12,1,$C$5-C288+1,$B$5+SUM($D$7:D287),0)</f>
        <v>#NUM!</v>
      </c>
      <c r="E288" s="48" t="e">
        <f>-($B$5+SUM($D$7:$D287))*$B288/12</f>
        <v>#NUM!</v>
      </c>
      <c r="F288" s="48" t="e">
        <f t="shared" si="4"/>
        <v>#NUM!</v>
      </c>
      <c r="G288" s="48" t="e">
        <f>($B$5+SUM($D$7:$D288))</f>
        <v>#NUM!</v>
      </c>
    </row>
    <row r="289" spans="2:7">
      <c r="B289" s="45">
        <f>'Ипотечный калькулятор'!$C$21</f>
        <v>0.29000000000000004</v>
      </c>
      <c r="C289" s="47">
        <v>283</v>
      </c>
      <c r="D289" s="48" t="e">
        <f>PPMT($B289/12,1,$C$5-C289+1,$B$5+SUM($D$7:D288),0)</f>
        <v>#NUM!</v>
      </c>
      <c r="E289" s="48" t="e">
        <f>-($B$5+SUM($D$7:$D288))*$B289/12</f>
        <v>#NUM!</v>
      </c>
      <c r="F289" s="48" t="e">
        <f t="shared" si="4"/>
        <v>#NUM!</v>
      </c>
      <c r="G289" s="48" t="e">
        <f>($B$5+SUM($D$7:$D289))</f>
        <v>#NUM!</v>
      </c>
    </row>
    <row r="290" spans="2:7">
      <c r="B290" s="45">
        <f>'Ипотечный калькулятор'!$C$21</f>
        <v>0.29000000000000004</v>
      </c>
      <c r="C290" s="47">
        <v>284</v>
      </c>
      <c r="D290" s="48" t="e">
        <f>PPMT($B290/12,1,$C$5-C290+1,$B$5+SUM($D$7:D289),0)</f>
        <v>#NUM!</v>
      </c>
      <c r="E290" s="48" t="e">
        <f>-($B$5+SUM($D$7:$D289))*$B290/12</f>
        <v>#NUM!</v>
      </c>
      <c r="F290" s="48" t="e">
        <f t="shared" si="4"/>
        <v>#NUM!</v>
      </c>
      <c r="G290" s="48" t="e">
        <f>($B$5+SUM($D$7:$D290))</f>
        <v>#NUM!</v>
      </c>
    </row>
    <row r="291" spans="2:7">
      <c r="B291" s="45">
        <f>'Ипотечный калькулятор'!$C$21</f>
        <v>0.29000000000000004</v>
      </c>
      <c r="C291" s="47">
        <v>285</v>
      </c>
      <c r="D291" s="48" t="e">
        <f>PPMT($B291/12,1,$C$5-C291+1,$B$5+SUM($D$7:D290),0)</f>
        <v>#NUM!</v>
      </c>
      <c r="E291" s="48" t="e">
        <f>-($B$5+SUM($D$7:$D290))*$B291/12</f>
        <v>#NUM!</v>
      </c>
      <c r="F291" s="48" t="e">
        <f t="shared" si="4"/>
        <v>#NUM!</v>
      </c>
      <c r="G291" s="48" t="e">
        <f>($B$5+SUM($D$7:$D291))</f>
        <v>#NUM!</v>
      </c>
    </row>
    <row r="292" spans="2:7">
      <c r="B292" s="45">
        <f>'Ипотечный калькулятор'!$C$21</f>
        <v>0.29000000000000004</v>
      </c>
      <c r="C292" s="47">
        <v>286</v>
      </c>
      <c r="D292" s="48" t="e">
        <f>PPMT($B292/12,1,$C$5-C292+1,$B$5+SUM($D$7:D291),0)</f>
        <v>#NUM!</v>
      </c>
      <c r="E292" s="48" t="e">
        <f>-($B$5+SUM($D$7:$D291))*$B292/12</f>
        <v>#NUM!</v>
      </c>
      <c r="F292" s="48" t="e">
        <f t="shared" si="4"/>
        <v>#NUM!</v>
      </c>
      <c r="G292" s="48" t="e">
        <f>($B$5+SUM($D$7:$D292))</f>
        <v>#NUM!</v>
      </c>
    </row>
    <row r="293" spans="2:7">
      <c r="B293" s="45">
        <f>'Ипотечный калькулятор'!$C$21</f>
        <v>0.29000000000000004</v>
      </c>
      <c r="C293" s="47">
        <v>287</v>
      </c>
      <c r="D293" s="48" t="e">
        <f>PPMT($B293/12,1,$C$5-C293+1,$B$5+SUM($D$7:D292),0)</f>
        <v>#NUM!</v>
      </c>
      <c r="E293" s="48" t="e">
        <f>-($B$5+SUM($D$7:$D292))*$B293/12</f>
        <v>#NUM!</v>
      </c>
      <c r="F293" s="48" t="e">
        <f t="shared" si="4"/>
        <v>#NUM!</v>
      </c>
      <c r="G293" s="48" t="e">
        <f>($B$5+SUM($D$7:$D293))</f>
        <v>#NUM!</v>
      </c>
    </row>
    <row r="294" spans="2:7">
      <c r="B294" s="45">
        <f>'Ипотечный калькулятор'!$C$21</f>
        <v>0.29000000000000004</v>
      </c>
      <c r="C294" s="47">
        <v>288</v>
      </c>
      <c r="D294" s="48" t="e">
        <f>PPMT($B294/12,1,$C$5-C294+1,$B$5+SUM($D$7:D293),0)</f>
        <v>#NUM!</v>
      </c>
      <c r="E294" s="48" t="e">
        <f>-($B$5+SUM($D$7:$D293))*$B294/12</f>
        <v>#NUM!</v>
      </c>
      <c r="F294" s="48" t="e">
        <f t="shared" si="4"/>
        <v>#NUM!</v>
      </c>
      <c r="G294" s="48" t="e">
        <f>($B$5+SUM($D$7:$D294))</f>
        <v>#NUM!</v>
      </c>
    </row>
    <row r="295" spans="2:7">
      <c r="B295" s="45">
        <f>'Ипотечный калькулятор'!$C$21</f>
        <v>0.29000000000000004</v>
      </c>
      <c r="C295" s="47">
        <v>289</v>
      </c>
      <c r="D295" s="48" t="e">
        <f>PPMT($B295/12,1,$C$5-C295+1,$B$5+SUM($D$7:D294),0)</f>
        <v>#NUM!</v>
      </c>
      <c r="E295" s="48" t="e">
        <f>-($B$5+SUM($D$7:$D294))*$B295/12</f>
        <v>#NUM!</v>
      </c>
      <c r="F295" s="48" t="e">
        <f t="shared" si="4"/>
        <v>#NUM!</v>
      </c>
      <c r="G295" s="48" t="e">
        <f>($B$5+SUM($D$7:$D295))</f>
        <v>#NUM!</v>
      </c>
    </row>
    <row r="296" spans="2:7">
      <c r="B296" s="45">
        <f>'Ипотечный калькулятор'!$C$21</f>
        <v>0.29000000000000004</v>
      </c>
      <c r="C296" s="47">
        <v>290</v>
      </c>
      <c r="D296" s="48" t="e">
        <f>PPMT($B296/12,1,$C$5-C296+1,$B$5+SUM($D$7:D295),0)</f>
        <v>#NUM!</v>
      </c>
      <c r="E296" s="48" t="e">
        <f>-($B$5+SUM($D$7:$D295))*$B296/12</f>
        <v>#NUM!</v>
      </c>
      <c r="F296" s="48" t="e">
        <f t="shared" si="4"/>
        <v>#NUM!</v>
      </c>
      <c r="G296" s="48" t="e">
        <f>($B$5+SUM($D$7:$D296))</f>
        <v>#NUM!</v>
      </c>
    </row>
    <row r="297" spans="2:7">
      <c r="B297" s="45">
        <f>'Ипотечный калькулятор'!$C$21</f>
        <v>0.29000000000000004</v>
      </c>
      <c r="C297" s="47">
        <v>291</v>
      </c>
      <c r="D297" s="48" t="e">
        <f>PPMT($B297/12,1,$C$5-C297+1,$B$5+SUM($D$7:D296),0)</f>
        <v>#NUM!</v>
      </c>
      <c r="E297" s="48" t="e">
        <f>-($B$5+SUM($D$7:$D296))*$B297/12</f>
        <v>#NUM!</v>
      </c>
      <c r="F297" s="48" t="e">
        <f t="shared" si="4"/>
        <v>#NUM!</v>
      </c>
      <c r="G297" s="48" t="e">
        <f>($B$5+SUM($D$7:$D297))</f>
        <v>#NUM!</v>
      </c>
    </row>
    <row r="298" spans="2:7">
      <c r="B298" s="45">
        <f>'Ипотечный калькулятор'!$C$21</f>
        <v>0.29000000000000004</v>
      </c>
      <c r="C298" s="47">
        <v>292</v>
      </c>
      <c r="D298" s="48" t="e">
        <f>PPMT($B298/12,1,$C$5-C298+1,$B$5+SUM($D$7:D297),0)</f>
        <v>#NUM!</v>
      </c>
      <c r="E298" s="48" t="e">
        <f>-($B$5+SUM($D$7:$D297))*$B298/12</f>
        <v>#NUM!</v>
      </c>
      <c r="F298" s="48" t="e">
        <f t="shared" si="4"/>
        <v>#NUM!</v>
      </c>
      <c r="G298" s="48" t="e">
        <f>($B$5+SUM($D$7:$D298))</f>
        <v>#NUM!</v>
      </c>
    </row>
    <row r="299" spans="2:7">
      <c r="B299" s="45">
        <f>'Ипотечный калькулятор'!$C$21</f>
        <v>0.29000000000000004</v>
      </c>
      <c r="C299" s="47">
        <v>293</v>
      </c>
      <c r="D299" s="48" t="e">
        <f>PPMT($B299/12,1,$C$5-C299+1,$B$5+SUM($D$7:D298),0)</f>
        <v>#NUM!</v>
      </c>
      <c r="E299" s="48" t="e">
        <f>-($B$5+SUM($D$7:$D298))*$B299/12</f>
        <v>#NUM!</v>
      </c>
      <c r="F299" s="48" t="e">
        <f t="shared" si="4"/>
        <v>#NUM!</v>
      </c>
      <c r="G299" s="48" t="e">
        <f>($B$5+SUM($D$7:$D299))</f>
        <v>#NUM!</v>
      </c>
    </row>
    <row r="300" spans="2:7">
      <c r="B300" s="45">
        <f>'Ипотечный калькулятор'!$C$21</f>
        <v>0.29000000000000004</v>
      </c>
      <c r="C300" s="47">
        <v>294</v>
      </c>
      <c r="D300" s="48" t="e">
        <f>PPMT($B300/12,1,$C$5-C300+1,$B$5+SUM($D$7:D299),0)</f>
        <v>#NUM!</v>
      </c>
      <c r="E300" s="48" t="e">
        <f>-($B$5+SUM($D$7:$D299))*$B300/12</f>
        <v>#NUM!</v>
      </c>
      <c r="F300" s="48" t="e">
        <f t="shared" si="4"/>
        <v>#NUM!</v>
      </c>
      <c r="G300" s="48" t="e">
        <f>($B$5+SUM($D$7:$D300))</f>
        <v>#NUM!</v>
      </c>
    </row>
    <row r="301" spans="2:7">
      <c r="B301" s="45">
        <f>'Ипотечный калькулятор'!$C$21</f>
        <v>0.29000000000000004</v>
      </c>
      <c r="C301" s="47">
        <v>295</v>
      </c>
      <c r="D301" s="48" t="e">
        <f>PPMT($B301/12,1,$C$5-C301+1,$B$5+SUM($D$7:D300),0)</f>
        <v>#NUM!</v>
      </c>
      <c r="E301" s="48" t="e">
        <f>-($B$5+SUM($D$7:$D300))*$B301/12</f>
        <v>#NUM!</v>
      </c>
      <c r="F301" s="48" t="e">
        <f t="shared" si="4"/>
        <v>#NUM!</v>
      </c>
      <c r="G301" s="48" t="e">
        <f>($B$5+SUM($D$7:$D301))</f>
        <v>#NUM!</v>
      </c>
    </row>
    <row r="302" spans="2:7">
      <c r="B302" s="45">
        <f>'Ипотечный калькулятор'!$C$21</f>
        <v>0.29000000000000004</v>
      </c>
      <c r="C302" s="47">
        <v>296</v>
      </c>
      <c r="D302" s="48" t="e">
        <f>PPMT($B302/12,1,$C$5-C302+1,$B$5+SUM($D$7:D301),0)</f>
        <v>#NUM!</v>
      </c>
      <c r="E302" s="48" t="e">
        <f>-($B$5+SUM($D$7:$D301))*$B302/12</f>
        <v>#NUM!</v>
      </c>
      <c r="F302" s="48" t="e">
        <f t="shared" si="4"/>
        <v>#NUM!</v>
      </c>
      <c r="G302" s="48" t="e">
        <f>($B$5+SUM($D$7:$D302))</f>
        <v>#NUM!</v>
      </c>
    </row>
    <row r="303" spans="2:7">
      <c r="B303" s="45">
        <f>'Ипотечный калькулятор'!$C$21</f>
        <v>0.29000000000000004</v>
      </c>
      <c r="C303" s="47">
        <v>297</v>
      </c>
      <c r="D303" s="48" t="e">
        <f>PPMT($B303/12,1,$C$5-C303+1,$B$5+SUM($D$7:D302),0)</f>
        <v>#NUM!</v>
      </c>
      <c r="E303" s="48" t="e">
        <f>-($B$5+SUM($D$7:$D302))*$B303/12</f>
        <v>#NUM!</v>
      </c>
      <c r="F303" s="48" t="e">
        <f t="shared" si="4"/>
        <v>#NUM!</v>
      </c>
      <c r="G303" s="48" t="e">
        <f>($B$5+SUM($D$7:$D303))</f>
        <v>#NUM!</v>
      </c>
    </row>
    <row r="304" spans="2:7">
      <c r="B304" s="45">
        <f>'Ипотечный калькулятор'!$C$21</f>
        <v>0.29000000000000004</v>
      </c>
      <c r="C304" s="47">
        <v>298</v>
      </c>
      <c r="D304" s="48" t="e">
        <f>PPMT($B304/12,1,$C$5-C304+1,$B$5+SUM($D$7:D303),0)</f>
        <v>#NUM!</v>
      </c>
      <c r="E304" s="48" t="e">
        <f>-($B$5+SUM($D$7:$D303))*$B304/12</f>
        <v>#NUM!</v>
      </c>
      <c r="F304" s="48" t="e">
        <f t="shared" si="4"/>
        <v>#NUM!</v>
      </c>
      <c r="G304" s="48" t="e">
        <f>($B$5+SUM($D$7:$D304))</f>
        <v>#NUM!</v>
      </c>
    </row>
    <row r="305" spans="2:7">
      <c r="B305" s="45">
        <f>'Ипотечный калькулятор'!$C$21</f>
        <v>0.29000000000000004</v>
      </c>
      <c r="C305" s="47">
        <v>299</v>
      </c>
      <c r="D305" s="48" t="e">
        <f>PPMT($B305/12,1,$C$5-C305+1,$B$5+SUM($D$7:D304),0)</f>
        <v>#NUM!</v>
      </c>
      <c r="E305" s="48" t="e">
        <f>-($B$5+SUM($D$7:$D304))*$B305/12</f>
        <v>#NUM!</v>
      </c>
      <c r="F305" s="48" t="e">
        <f t="shared" si="4"/>
        <v>#NUM!</v>
      </c>
      <c r="G305" s="48" t="e">
        <f>($B$5+SUM($D$7:$D305))</f>
        <v>#NUM!</v>
      </c>
    </row>
    <row r="306" spans="2:7">
      <c r="B306" s="45">
        <f>'Ипотечный калькулятор'!$C$21</f>
        <v>0.29000000000000004</v>
      </c>
      <c r="C306" s="47">
        <v>300</v>
      </c>
      <c r="D306" s="48" t="e">
        <f>PPMT($B306/12,1,$C$5-C306+1,$B$5+SUM($D$7:D305),0)</f>
        <v>#NUM!</v>
      </c>
      <c r="E306" s="48" t="e">
        <f>-($B$5+SUM($D$7:$D305))*$B306/12</f>
        <v>#NUM!</v>
      </c>
      <c r="F306" s="48" t="e">
        <f t="shared" si="4"/>
        <v>#NUM!</v>
      </c>
      <c r="G306" s="48" t="e">
        <f>($B$5+SUM($D$7:$D306))</f>
        <v>#NUM!</v>
      </c>
    </row>
    <row r="307" spans="2:7">
      <c r="B307" s="45">
        <f>'Ипотечный калькулятор'!$C$21</f>
        <v>0.29000000000000004</v>
      </c>
      <c r="C307" s="47">
        <v>301</v>
      </c>
      <c r="D307" s="48" t="e">
        <f>PPMT($B307/12,1,$C$5-C307+1,$B$5+SUM($D$7:D306),0)</f>
        <v>#NUM!</v>
      </c>
      <c r="E307" s="48" t="e">
        <f>-($B$5+SUM($D$7:$D306))*$B307/12</f>
        <v>#NUM!</v>
      </c>
      <c r="F307" s="48" t="e">
        <f t="shared" si="4"/>
        <v>#NUM!</v>
      </c>
      <c r="G307" s="48" t="e">
        <f>($B$5+SUM($D$7:$D307))</f>
        <v>#NUM!</v>
      </c>
    </row>
    <row r="308" spans="2:7">
      <c r="B308" s="45">
        <f>'Ипотечный калькулятор'!$C$21</f>
        <v>0.29000000000000004</v>
      </c>
      <c r="C308" s="47">
        <v>302</v>
      </c>
      <c r="D308" s="48" t="e">
        <f>PPMT($B308/12,1,$C$5-C308+1,$B$5+SUM($D$7:D307),0)</f>
        <v>#NUM!</v>
      </c>
      <c r="E308" s="48" t="e">
        <f>-($B$5+SUM($D$7:$D307))*$B308/12</f>
        <v>#NUM!</v>
      </c>
      <c r="F308" s="48" t="e">
        <f t="shared" si="4"/>
        <v>#NUM!</v>
      </c>
      <c r="G308" s="48" t="e">
        <f>($B$5+SUM($D$7:$D308))</f>
        <v>#NUM!</v>
      </c>
    </row>
    <row r="309" spans="2:7">
      <c r="B309" s="45">
        <f>'Ипотечный калькулятор'!$C$21</f>
        <v>0.29000000000000004</v>
      </c>
      <c r="C309" s="47">
        <v>303</v>
      </c>
      <c r="D309" s="48" t="e">
        <f>PPMT($B309/12,1,$C$5-C309+1,$B$5+SUM($D$7:D308),0)</f>
        <v>#NUM!</v>
      </c>
      <c r="E309" s="48" t="e">
        <f>-($B$5+SUM($D$7:$D308))*$B309/12</f>
        <v>#NUM!</v>
      </c>
      <c r="F309" s="48" t="e">
        <f t="shared" si="4"/>
        <v>#NUM!</v>
      </c>
      <c r="G309" s="48" t="e">
        <f>($B$5+SUM($D$7:$D309))</f>
        <v>#NUM!</v>
      </c>
    </row>
    <row r="310" spans="2:7">
      <c r="B310" s="45">
        <f>'Ипотечный калькулятор'!$C$21</f>
        <v>0.29000000000000004</v>
      </c>
      <c r="C310" s="47">
        <v>304</v>
      </c>
      <c r="D310" s="48" t="e">
        <f>PPMT($B310/12,1,$C$5-C310+1,$B$5+SUM($D$7:D309),0)</f>
        <v>#NUM!</v>
      </c>
      <c r="E310" s="48" t="e">
        <f>-($B$5+SUM($D$7:$D309))*$B310/12</f>
        <v>#NUM!</v>
      </c>
      <c r="F310" s="48" t="e">
        <f t="shared" si="4"/>
        <v>#NUM!</v>
      </c>
      <c r="G310" s="48" t="e">
        <f>($B$5+SUM($D$7:$D310))</f>
        <v>#NUM!</v>
      </c>
    </row>
    <row r="311" spans="2:7">
      <c r="B311" s="45">
        <f>'Ипотечный калькулятор'!$C$21</f>
        <v>0.29000000000000004</v>
      </c>
      <c r="C311" s="47">
        <v>305</v>
      </c>
      <c r="D311" s="48" t="e">
        <f>PPMT($B311/12,1,$C$5-C311+1,$B$5+SUM($D$7:D310),0)</f>
        <v>#NUM!</v>
      </c>
      <c r="E311" s="48" t="e">
        <f>-($B$5+SUM($D$7:$D310))*$B311/12</f>
        <v>#NUM!</v>
      </c>
      <c r="F311" s="48" t="e">
        <f t="shared" ref="F311:F369" si="5">SUM(D311:E311)</f>
        <v>#NUM!</v>
      </c>
      <c r="G311" s="48" t="e">
        <f>($B$5+SUM($D$7:$D311))</f>
        <v>#NUM!</v>
      </c>
    </row>
    <row r="312" spans="2:7">
      <c r="B312" s="45">
        <f>'Ипотечный калькулятор'!$C$21</f>
        <v>0.29000000000000004</v>
      </c>
      <c r="C312" s="47">
        <v>306</v>
      </c>
      <c r="D312" s="48" t="e">
        <f>PPMT($B312/12,1,$C$5-C312+1,$B$5+SUM($D$7:D311),0)</f>
        <v>#NUM!</v>
      </c>
      <c r="E312" s="48" t="e">
        <f>-($B$5+SUM($D$7:$D311))*$B312/12</f>
        <v>#NUM!</v>
      </c>
      <c r="F312" s="48" t="e">
        <f t="shared" si="5"/>
        <v>#NUM!</v>
      </c>
      <c r="G312" s="48" t="e">
        <f>($B$5+SUM($D$7:$D312))</f>
        <v>#NUM!</v>
      </c>
    </row>
    <row r="313" spans="2:7">
      <c r="B313" s="45">
        <f>'Ипотечный калькулятор'!$C$21</f>
        <v>0.29000000000000004</v>
      </c>
      <c r="C313" s="47">
        <v>307</v>
      </c>
      <c r="D313" s="48" t="e">
        <f>PPMT($B313/12,1,$C$5-C313+1,$B$5+SUM($D$7:D312),0)</f>
        <v>#NUM!</v>
      </c>
      <c r="E313" s="48" t="e">
        <f>-($B$5+SUM($D$7:$D312))*$B313/12</f>
        <v>#NUM!</v>
      </c>
      <c r="F313" s="48" t="e">
        <f t="shared" si="5"/>
        <v>#NUM!</v>
      </c>
      <c r="G313" s="48" t="e">
        <f>($B$5+SUM($D$7:$D313))</f>
        <v>#NUM!</v>
      </c>
    </row>
    <row r="314" spans="2:7">
      <c r="B314" s="45">
        <f>'Ипотечный калькулятор'!$C$21</f>
        <v>0.29000000000000004</v>
      </c>
      <c r="C314" s="47">
        <v>308</v>
      </c>
      <c r="D314" s="48" t="e">
        <f>PPMT($B314/12,1,$C$5-C314+1,$B$5+SUM($D$7:D313),0)</f>
        <v>#NUM!</v>
      </c>
      <c r="E314" s="48" t="e">
        <f>-($B$5+SUM($D$7:$D313))*$B314/12</f>
        <v>#NUM!</v>
      </c>
      <c r="F314" s="48" t="e">
        <f t="shared" si="5"/>
        <v>#NUM!</v>
      </c>
      <c r="G314" s="48" t="e">
        <f>($B$5+SUM($D$7:$D314))</f>
        <v>#NUM!</v>
      </c>
    </row>
    <row r="315" spans="2:7">
      <c r="B315" s="45">
        <f>'Ипотечный калькулятор'!$C$21</f>
        <v>0.29000000000000004</v>
      </c>
      <c r="C315" s="47">
        <v>309</v>
      </c>
      <c r="D315" s="48" t="e">
        <f>PPMT($B315/12,1,$C$5-C315+1,$B$5+SUM($D$7:D314),0)</f>
        <v>#NUM!</v>
      </c>
      <c r="E315" s="48" t="e">
        <f>-($B$5+SUM($D$7:$D314))*$B315/12</f>
        <v>#NUM!</v>
      </c>
      <c r="F315" s="48" t="e">
        <f t="shared" si="5"/>
        <v>#NUM!</v>
      </c>
      <c r="G315" s="48" t="e">
        <f>($B$5+SUM($D$7:$D315))</f>
        <v>#NUM!</v>
      </c>
    </row>
    <row r="316" spans="2:7">
      <c r="B316" s="45">
        <f>'Ипотечный калькулятор'!$C$21</f>
        <v>0.29000000000000004</v>
      </c>
      <c r="C316" s="47">
        <v>310</v>
      </c>
      <c r="D316" s="48" t="e">
        <f>PPMT($B316/12,1,$C$5-C316+1,$B$5+SUM($D$7:D315),0)</f>
        <v>#NUM!</v>
      </c>
      <c r="E316" s="48" t="e">
        <f>-($B$5+SUM($D$7:$D315))*$B316/12</f>
        <v>#NUM!</v>
      </c>
      <c r="F316" s="48" t="e">
        <f t="shared" si="5"/>
        <v>#NUM!</v>
      </c>
      <c r="G316" s="48" t="e">
        <f>($B$5+SUM($D$7:$D316))</f>
        <v>#NUM!</v>
      </c>
    </row>
    <row r="317" spans="2:7">
      <c r="B317" s="45">
        <f>'Ипотечный калькулятор'!$C$21</f>
        <v>0.29000000000000004</v>
      </c>
      <c r="C317" s="47">
        <v>311</v>
      </c>
      <c r="D317" s="48" t="e">
        <f>PPMT($B317/12,1,$C$5-C317+1,$B$5+SUM($D$7:D316),0)</f>
        <v>#NUM!</v>
      </c>
      <c r="E317" s="48" t="e">
        <f>-($B$5+SUM($D$7:$D316))*$B317/12</f>
        <v>#NUM!</v>
      </c>
      <c r="F317" s="48" t="e">
        <f t="shared" si="5"/>
        <v>#NUM!</v>
      </c>
      <c r="G317" s="48" t="e">
        <f>($B$5+SUM($D$7:$D317))</f>
        <v>#NUM!</v>
      </c>
    </row>
    <row r="318" spans="2:7">
      <c r="B318" s="45">
        <f>'Ипотечный калькулятор'!$C$21</f>
        <v>0.29000000000000004</v>
      </c>
      <c r="C318" s="47">
        <v>312</v>
      </c>
      <c r="D318" s="48" t="e">
        <f>PPMT($B318/12,1,$C$5-C318+1,$B$5+SUM($D$7:D317),0)</f>
        <v>#NUM!</v>
      </c>
      <c r="E318" s="48" t="e">
        <f>-($B$5+SUM($D$7:$D317))*$B318/12</f>
        <v>#NUM!</v>
      </c>
      <c r="F318" s="48" t="e">
        <f t="shared" si="5"/>
        <v>#NUM!</v>
      </c>
      <c r="G318" s="48" t="e">
        <f>($B$5+SUM($D$7:$D318))</f>
        <v>#NUM!</v>
      </c>
    </row>
    <row r="319" spans="2:7">
      <c r="B319" s="45">
        <f>'Ипотечный калькулятор'!$C$21</f>
        <v>0.29000000000000004</v>
      </c>
      <c r="C319" s="47">
        <v>313</v>
      </c>
      <c r="D319" s="48" t="e">
        <f>PPMT($B319/12,1,$C$5-C319+1,$B$5+SUM($D$7:D318),0)</f>
        <v>#NUM!</v>
      </c>
      <c r="E319" s="48" t="e">
        <f>-($B$5+SUM($D$7:$D318))*$B319/12</f>
        <v>#NUM!</v>
      </c>
      <c r="F319" s="48" t="e">
        <f t="shared" si="5"/>
        <v>#NUM!</v>
      </c>
      <c r="G319" s="48" t="e">
        <f>($B$5+SUM($D$7:$D319))</f>
        <v>#NUM!</v>
      </c>
    </row>
    <row r="320" spans="2:7">
      <c r="B320" s="45">
        <f>'Ипотечный калькулятор'!$C$21</f>
        <v>0.29000000000000004</v>
      </c>
      <c r="C320" s="47">
        <v>314</v>
      </c>
      <c r="D320" s="48" t="e">
        <f>PPMT($B320/12,1,$C$5-C320+1,$B$5+SUM($D$7:D319),0)</f>
        <v>#NUM!</v>
      </c>
      <c r="E320" s="48" t="e">
        <f>-($B$5+SUM($D$7:$D319))*$B320/12</f>
        <v>#NUM!</v>
      </c>
      <c r="F320" s="48" t="e">
        <f t="shared" si="5"/>
        <v>#NUM!</v>
      </c>
      <c r="G320" s="48" t="e">
        <f>($B$5+SUM($D$7:$D320))</f>
        <v>#NUM!</v>
      </c>
    </row>
    <row r="321" spans="2:7">
      <c r="B321" s="45">
        <f>'Ипотечный калькулятор'!$C$21</f>
        <v>0.29000000000000004</v>
      </c>
      <c r="C321" s="47">
        <v>315</v>
      </c>
      <c r="D321" s="48" t="e">
        <f>PPMT($B321/12,1,$C$5-C321+1,$B$5+SUM($D$7:D320),0)</f>
        <v>#NUM!</v>
      </c>
      <c r="E321" s="48" t="e">
        <f>-($B$5+SUM($D$7:$D320))*$B321/12</f>
        <v>#NUM!</v>
      </c>
      <c r="F321" s="48" t="e">
        <f t="shared" si="5"/>
        <v>#NUM!</v>
      </c>
      <c r="G321" s="48" t="e">
        <f>($B$5+SUM($D$7:$D321))</f>
        <v>#NUM!</v>
      </c>
    </row>
    <row r="322" spans="2:7">
      <c r="B322" s="45">
        <f>'Ипотечный калькулятор'!$C$21</f>
        <v>0.29000000000000004</v>
      </c>
      <c r="C322" s="47">
        <v>316</v>
      </c>
      <c r="D322" s="48" t="e">
        <f>PPMT($B322/12,1,$C$5-C322+1,$B$5+SUM($D$7:D321),0)</f>
        <v>#NUM!</v>
      </c>
      <c r="E322" s="48" t="e">
        <f>-($B$5+SUM($D$7:$D321))*$B322/12</f>
        <v>#NUM!</v>
      </c>
      <c r="F322" s="48" t="e">
        <f t="shared" si="5"/>
        <v>#NUM!</v>
      </c>
      <c r="G322" s="48" t="e">
        <f>($B$5+SUM($D$7:$D322))</f>
        <v>#NUM!</v>
      </c>
    </row>
    <row r="323" spans="2:7">
      <c r="B323" s="45">
        <f>'Ипотечный калькулятор'!$C$21</f>
        <v>0.29000000000000004</v>
      </c>
      <c r="C323" s="47">
        <v>317</v>
      </c>
      <c r="D323" s="48" t="e">
        <f>PPMT($B323/12,1,$C$5-C323+1,$B$5+SUM($D$7:D322),0)</f>
        <v>#NUM!</v>
      </c>
      <c r="E323" s="48" t="e">
        <f>-($B$5+SUM($D$7:$D322))*$B323/12</f>
        <v>#NUM!</v>
      </c>
      <c r="F323" s="48" t="e">
        <f t="shared" si="5"/>
        <v>#NUM!</v>
      </c>
      <c r="G323" s="48" t="e">
        <f>($B$5+SUM($D$7:$D323))</f>
        <v>#NUM!</v>
      </c>
    </row>
    <row r="324" spans="2:7">
      <c r="B324" s="45">
        <f>'Ипотечный калькулятор'!$C$21</f>
        <v>0.29000000000000004</v>
      </c>
      <c r="C324" s="47">
        <v>318</v>
      </c>
      <c r="D324" s="48" t="e">
        <f>PPMT($B324/12,1,$C$5-C324+1,$B$5+SUM($D$7:D323),0)</f>
        <v>#NUM!</v>
      </c>
      <c r="E324" s="48" t="e">
        <f>-($B$5+SUM($D$7:$D323))*$B324/12</f>
        <v>#NUM!</v>
      </c>
      <c r="F324" s="48" t="e">
        <f t="shared" si="5"/>
        <v>#NUM!</v>
      </c>
      <c r="G324" s="48" t="e">
        <f>($B$5+SUM($D$7:$D324))</f>
        <v>#NUM!</v>
      </c>
    </row>
    <row r="325" spans="2:7">
      <c r="B325" s="45">
        <f>'Ипотечный калькулятор'!$C$21</f>
        <v>0.29000000000000004</v>
      </c>
      <c r="C325" s="47">
        <v>319</v>
      </c>
      <c r="D325" s="48" t="e">
        <f>PPMT($B325/12,1,$C$5-C325+1,$B$5+SUM($D$7:D324),0)</f>
        <v>#NUM!</v>
      </c>
      <c r="E325" s="48" t="e">
        <f>-($B$5+SUM($D$7:$D324))*$B325/12</f>
        <v>#NUM!</v>
      </c>
      <c r="F325" s="48" t="e">
        <f t="shared" si="5"/>
        <v>#NUM!</v>
      </c>
      <c r="G325" s="48" t="e">
        <f>($B$5+SUM($D$7:$D325))</f>
        <v>#NUM!</v>
      </c>
    </row>
    <row r="326" spans="2:7">
      <c r="B326" s="45">
        <f>'Ипотечный калькулятор'!$C$21</f>
        <v>0.29000000000000004</v>
      </c>
      <c r="C326" s="47">
        <v>320</v>
      </c>
      <c r="D326" s="48" t="e">
        <f>PPMT($B326/12,1,$C$5-C326+1,$B$5+SUM($D$7:D325),0)</f>
        <v>#NUM!</v>
      </c>
      <c r="E326" s="48" t="e">
        <f>-($B$5+SUM($D$7:$D325))*$B326/12</f>
        <v>#NUM!</v>
      </c>
      <c r="F326" s="48" t="e">
        <f t="shared" si="5"/>
        <v>#NUM!</v>
      </c>
      <c r="G326" s="48" t="e">
        <f>($B$5+SUM($D$7:$D326))</f>
        <v>#NUM!</v>
      </c>
    </row>
    <row r="327" spans="2:7">
      <c r="B327" s="45">
        <f>'Ипотечный калькулятор'!$C$21</f>
        <v>0.29000000000000004</v>
      </c>
      <c r="C327" s="47">
        <v>321</v>
      </c>
      <c r="D327" s="48" t="e">
        <f>PPMT($B327/12,1,$C$5-C327+1,$B$5+SUM($D$7:D326),0)</f>
        <v>#NUM!</v>
      </c>
      <c r="E327" s="48" t="e">
        <f>-($B$5+SUM($D$7:$D326))*$B327/12</f>
        <v>#NUM!</v>
      </c>
      <c r="F327" s="48" t="e">
        <f t="shared" si="5"/>
        <v>#NUM!</v>
      </c>
      <c r="G327" s="48" t="e">
        <f>($B$5+SUM($D$7:$D327))</f>
        <v>#NUM!</v>
      </c>
    </row>
    <row r="328" spans="2:7">
      <c r="B328" s="45">
        <f>'Ипотечный калькулятор'!$C$21</f>
        <v>0.29000000000000004</v>
      </c>
      <c r="C328" s="47">
        <v>322</v>
      </c>
      <c r="D328" s="48" t="e">
        <f>PPMT($B328/12,1,$C$5-C328+1,$B$5+SUM($D$7:D327),0)</f>
        <v>#NUM!</v>
      </c>
      <c r="E328" s="48" t="e">
        <f>-($B$5+SUM($D$7:$D327))*$B328/12</f>
        <v>#NUM!</v>
      </c>
      <c r="F328" s="48" t="e">
        <f t="shared" si="5"/>
        <v>#NUM!</v>
      </c>
      <c r="G328" s="48" t="e">
        <f>($B$5+SUM($D$7:$D328))</f>
        <v>#NUM!</v>
      </c>
    </row>
    <row r="329" spans="2:7">
      <c r="B329" s="45">
        <f>'Ипотечный калькулятор'!$C$21</f>
        <v>0.29000000000000004</v>
      </c>
      <c r="C329" s="47">
        <v>323</v>
      </c>
      <c r="D329" s="48" t="e">
        <f>PPMT($B329/12,1,$C$5-C329+1,$B$5+SUM($D$7:D328),0)</f>
        <v>#NUM!</v>
      </c>
      <c r="E329" s="48" t="e">
        <f>-($B$5+SUM($D$7:$D328))*$B329/12</f>
        <v>#NUM!</v>
      </c>
      <c r="F329" s="48" t="e">
        <f t="shared" si="5"/>
        <v>#NUM!</v>
      </c>
      <c r="G329" s="48" t="e">
        <f>($B$5+SUM($D$7:$D329))</f>
        <v>#NUM!</v>
      </c>
    </row>
    <row r="330" spans="2:7">
      <c r="B330" s="45">
        <f>'Ипотечный калькулятор'!$C$21</f>
        <v>0.29000000000000004</v>
      </c>
      <c r="C330" s="47">
        <v>324</v>
      </c>
      <c r="D330" s="48" t="e">
        <f>PPMT($B330/12,1,$C$5-C330+1,$B$5+SUM($D$7:D329),0)</f>
        <v>#NUM!</v>
      </c>
      <c r="E330" s="48" t="e">
        <f>-($B$5+SUM($D$7:$D329))*$B330/12</f>
        <v>#NUM!</v>
      </c>
      <c r="F330" s="48" t="e">
        <f t="shared" si="5"/>
        <v>#NUM!</v>
      </c>
      <c r="G330" s="48" t="e">
        <f>($B$5+SUM($D$7:$D330))</f>
        <v>#NUM!</v>
      </c>
    </row>
    <row r="331" spans="2:7">
      <c r="B331" s="45">
        <f>'Ипотечный калькулятор'!$C$21</f>
        <v>0.29000000000000004</v>
      </c>
      <c r="C331" s="47">
        <v>325</v>
      </c>
      <c r="D331" s="48" t="e">
        <f>PPMT($B331/12,1,$C$5-C331+1,$B$5+SUM($D$7:D330),0)</f>
        <v>#NUM!</v>
      </c>
      <c r="E331" s="48" t="e">
        <f>-($B$5+SUM($D$7:$D330))*$B331/12</f>
        <v>#NUM!</v>
      </c>
      <c r="F331" s="48" t="e">
        <f t="shared" si="5"/>
        <v>#NUM!</v>
      </c>
      <c r="G331" s="48" t="e">
        <f>($B$5+SUM($D$7:$D331))</f>
        <v>#NUM!</v>
      </c>
    </row>
    <row r="332" spans="2:7">
      <c r="B332" s="45">
        <f>'Ипотечный калькулятор'!$C$21</f>
        <v>0.29000000000000004</v>
      </c>
      <c r="C332" s="47">
        <v>326</v>
      </c>
      <c r="D332" s="48" t="e">
        <f>PPMT($B332/12,1,$C$5-C332+1,$B$5+SUM($D$7:D331),0)</f>
        <v>#NUM!</v>
      </c>
      <c r="E332" s="48" t="e">
        <f>-($B$5+SUM($D$7:$D331))*$B332/12</f>
        <v>#NUM!</v>
      </c>
      <c r="F332" s="48" t="e">
        <f t="shared" si="5"/>
        <v>#NUM!</v>
      </c>
      <c r="G332" s="48" t="e">
        <f>($B$5+SUM($D$7:$D332))</f>
        <v>#NUM!</v>
      </c>
    </row>
    <row r="333" spans="2:7">
      <c r="B333" s="45">
        <f>'Ипотечный калькулятор'!$C$21</f>
        <v>0.29000000000000004</v>
      </c>
      <c r="C333" s="47">
        <v>327</v>
      </c>
      <c r="D333" s="48" t="e">
        <f>PPMT($B333/12,1,$C$5-C333+1,$B$5+SUM($D$7:D332),0)</f>
        <v>#NUM!</v>
      </c>
      <c r="E333" s="48" t="e">
        <f>-($B$5+SUM($D$7:$D332))*$B333/12</f>
        <v>#NUM!</v>
      </c>
      <c r="F333" s="48" t="e">
        <f t="shared" si="5"/>
        <v>#NUM!</v>
      </c>
      <c r="G333" s="48" t="e">
        <f>($B$5+SUM($D$7:$D333))</f>
        <v>#NUM!</v>
      </c>
    </row>
    <row r="334" spans="2:7">
      <c r="B334" s="45">
        <f>'Ипотечный калькулятор'!$C$21</f>
        <v>0.29000000000000004</v>
      </c>
      <c r="C334" s="47">
        <v>328</v>
      </c>
      <c r="D334" s="48" t="e">
        <f>PPMT($B334/12,1,$C$5-C334+1,$B$5+SUM($D$7:D333),0)</f>
        <v>#NUM!</v>
      </c>
      <c r="E334" s="48" t="e">
        <f>-($B$5+SUM($D$7:$D333))*$B334/12</f>
        <v>#NUM!</v>
      </c>
      <c r="F334" s="48" t="e">
        <f t="shared" si="5"/>
        <v>#NUM!</v>
      </c>
      <c r="G334" s="48" t="e">
        <f>($B$5+SUM($D$7:$D334))</f>
        <v>#NUM!</v>
      </c>
    </row>
    <row r="335" spans="2:7">
      <c r="B335" s="45">
        <f>'Ипотечный калькулятор'!$C$21</f>
        <v>0.29000000000000004</v>
      </c>
      <c r="C335" s="47">
        <v>329</v>
      </c>
      <c r="D335" s="48" t="e">
        <f>PPMT($B335/12,1,$C$5-C335+1,$B$5+SUM($D$7:D334),0)</f>
        <v>#NUM!</v>
      </c>
      <c r="E335" s="48" t="e">
        <f>-($B$5+SUM($D$7:$D334))*$B335/12</f>
        <v>#NUM!</v>
      </c>
      <c r="F335" s="48" t="e">
        <f t="shared" si="5"/>
        <v>#NUM!</v>
      </c>
      <c r="G335" s="48" t="e">
        <f>($B$5+SUM($D$7:$D335))</f>
        <v>#NUM!</v>
      </c>
    </row>
    <row r="336" spans="2:7">
      <c r="B336" s="45">
        <f>'Ипотечный калькулятор'!$C$21</f>
        <v>0.29000000000000004</v>
      </c>
      <c r="C336" s="47">
        <v>330</v>
      </c>
      <c r="D336" s="48" t="e">
        <f>PPMT($B336/12,1,$C$5-C336+1,$B$5+SUM($D$7:D335),0)</f>
        <v>#NUM!</v>
      </c>
      <c r="E336" s="48" t="e">
        <f>-($B$5+SUM($D$7:$D335))*$B336/12</f>
        <v>#NUM!</v>
      </c>
      <c r="F336" s="48" t="e">
        <f t="shared" si="5"/>
        <v>#NUM!</v>
      </c>
      <c r="G336" s="48" t="e">
        <f>($B$5+SUM($D$7:$D336))</f>
        <v>#NUM!</v>
      </c>
    </row>
    <row r="337" spans="2:7">
      <c r="B337" s="45">
        <f>'Ипотечный калькулятор'!$C$21</f>
        <v>0.29000000000000004</v>
      </c>
      <c r="C337" s="47">
        <v>331</v>
      </c>
      <c r="D337" s="48" t="e">
        <f>PPMT($B337/12,1,$C$5-C337+1,$B$5+SUM($D$7:D336),0)</f>
        <v>#NUM!</v>
      </c>
      <c r="E337" s="48" t="e">
        <f>-($B$5+SUM($D$7:$D336))*$B337/12</f>
        <v>#NUM!</v>
      </c>
      <c r="F337" s="48" t="e">
        <f t="shared" si="5"/>
        <v>#NUM!</v>
      </c>
      <c r="G337" s="48" t="e">
        <f>($B$5+SUM($D$7:$D337))</f>
        <v>#NUM!</v>
      </c>
    </row>
    <row r="338" spans="2:7">
      <c r="B338" s="45">
        <f>'Ипотечный калькулятор'!$C$21</f>
        <v>0.29000000000000004</v>
      </c>
      <c r="C338" s="47">
        <v>332</v>
      </c>
      <c r="D338" s="48" t="e">
        <f>PPMT($B338/12,1,$C$5-C338+1,$B$5+SUM($D$7:D337),0)</f>
        <v>#NUM!</v>
      </c>
      <c r="E338" s="48" t="e">
        <f>-($B$5+SUM($D$7:$D337))*$B338/12</f>
        <v>#NUM!</v>
      </c>
      <c r="F338" s="48" t="e">
        <f t="shared" si="5"/>
        <v>#NUM!</v>
      </c>
      <c r="G338" s="48" t="e">
        <f>($B$5+SUM($D$7:$D338))</f>
        <v>#NUM!</v>
      </c>
    </row>
    <row r="339" spans="2:7">
      <c r="B339" s="45">
        <f>'Ипотечный калькулятор'!$C$21</f>
        <v>0.29000000000000004</v>
      </c>
      <c r="C339" s="47">
        <v>333</v>
      </c>
      <c r="D339" s="48" t="e">
        <f>PPMT($B339/12,1,$C$5-C339+1,$B$5+SUM($D$7:D338),0)</f>
        <v>#NUM!</v>
      </c>
      <c r="E339" s="48" t="e">
        <f>-($B$5+SUM($D$7:$D338))*$B339/12</f>
        <v>#NUM!</v>
      </c>
      <c r="F339" s="48" t="e">
        <f t="shared" si="5"/>
        <v>#NUM!</v>
      </c>
      <c r="G339" s="48" t="e">
        <f>($B$5+SUM($D$7:$D339))</f>
        <v>#NUM!</v>
      </c>
    </row>
    <row r="340" spans="2:7">
      <c r="B340" s="45">
        <f>'Ипотечный калькулятор'!$C$21</f>
        <v>0.29000000000000004</v>
      </c>
      <c r="C340" s="47">
        <v>334</v>
      </c>
      <c r="D340" s="48" t="e">
        <f>PPMT($B340/12,1,$C$5-C340+1,$B$5+SUM($D$7:D339),0)</f>
        <v>#NUM!</v>
      </c>
      <c r="E340" s="48" t="e">
        <f>-($B$5+SUM($D$7:$D339))*$B340/12</f>
        <v>#NUM!</v>
      </c>
      <c r="F340" s="48" t="e">
        <f t="shared" si="5"/>
        <v>#NUM!</v>
      </c>
      <c r="G340" s="48" t="e">
        <f>($B$5+SUM($D$7:$D340))</f>
        <v>#NUM!</v>
      </c>
    </row>
    <row r="341" spans="2:7">
      <c r="B341" s="45">
        <f>'Ипотечный калькулятор'!$C$21</f>
        <v>0.29000000000000004</v>
      </c>
      <c r="C341" s="47">
        <v>335</v>
      </c>
      <c r="D341" s="48" t="e">
        <f>PPMT($B341/12,1,$C$5-C341+1,$B$5+SUM($D$7:D340),0)</f>
        <v>#NUM!</v>
      </c>
      <c r="E341" s="48" t="e">
        <f>-($B$5+SUM($D$7:$D340))*$B341/12</f>
        <v>#NUM!</v>
      </c>
      <c r="F341" s="48" t="e">
        <f t="shared" si="5"/>
        <v>#NUM!</v>
      </c>
      <c r="G341" s="48" t="e">
        <f>($B$5+SUM($D$7:$D341))</f>
        <v>#NUM!</v>
      </c>
    </row>
    <row r="342" spans="2:7">
      <c r="B342" s="45">
        <f>'Ипотечный калькулятор'!$C$21</f>
        <v>0.29000000000000004</v>
      </c>
      <c r="C342" s="47">
        <v>336</v>
      </c>
      <c r="D342" s="48" t="e">
        <f>PPMT($B342/12,1,$C$5-C342+1,$B$5+SUM($D$7:D341),0)</f>
        <v>#NUM!</v>
      </c>
      <c r="E342" s="48" t="e">
        <f>-($B$5+SUM($D$7:$D341))*$B342/12</f>
        <v>#NUM!</v>
      </c>
      <c r="F342" s="48" t="e">
        <f t="shared" si="5"/>
        <v>#NUM!</v>
      </c>
      <c r="G342" s="48" t="e">
        <f>($B$5+SUM($D$7:$D342))</f>
        <v>#NUM!</v>
      </c>
    </row>
    <row r="343" spans="2:7">
      <c r="B343" s="45">
        <f>'Ипотечный калькулятор'!$C$21</f>
        <v>0.29000000000000004</v>
      </c>
      <c r="C343" s="47">
        <v>337</v>
      </c>
      <c r="D343" s="48" t="e">
        <f>PPMT($B343/12,1,$C$5-C343+1,$B$5+SUM($D$7:D342),0)</f>
        <v>#NUM!</v>
      </c>
      <c r="E343" s="48" t="e">
        <f>-($B$5+SUM($D$7:$D342))*$B343/12</f>
        <v>#NUM!</v>
      </c>
      <c r="F343" s="48" t="e">
        <f t="shared" si="5"/>
        <v>#NUM!</v>
      </c>
      <c r="G343" s="48" t="e">
        <f>($B$5+SUM($D$7:$D343))</f>
        <v>#NUM!</v>
      </c>
    </row>
    <row r="344" spans="2:7">
      <c r="B344" s="45">
        <f>'Ипотечный калькулятор'!$C$21</f>
        <v>0.29000000000000004</v>
      </c>
      <c r="C344" s="47">
        <v>338</v>
      </c>
      <c r="D344" s="48" t="e">
        <f>PPMT($B344/12,1,$C$5-C344+1,$B$5+SUM($D$7:D343),0)</f>
        <v>#NUM!</v>
      </c>
      <c r="E344" s="48" t="e">
        <f>-($B$5+SUM($D$7:$D343))*$B344/12</f>
        <v>#NUM!</v>
      </c>
      <c r="F344" s="48" t="e">
        <f t="shared" si="5"/>
        <v>#NUM!</v>
      </c>
      <c r="G344" s="48" t="e">
        <f>($B$5+SUM($D$7:$D344))</f>
        <v>#NUM!</v>
      </c>
    </row>
    <row r="345" spans="2:7">
      <c r="B345" s="45">
        <f>'Ипотечный калькулятор'!$C$21</f>
        <v>0.29000000000000004</v>
      </c>
      <c r="C345" s="47">
        <v>339</v>
      </c>
      <c r="D345" s="48" t="e">
        <f>PPMT($B345/12,1,$C$5-C345+1,$B$5+SUM($D$7:D344),0)</f>
        <v>#NUM!</v>
      </c>
      <c r="E345" s="48" t="e">
        <f>-($B$5+SUM($D$7:$D344))*$B345/12</f>
        <v>#NUM!</v>
      </c>
      <c r="F345" s="48" t="e">
        <f t="shared" si="5"/>
        <v>#NUM!</v>
      </c>
      <c r="G345" s="48" t="e">
        <f>($B$5+SUM($D$7:$D345))</f>
        <v>#NUM!</v>
      </c>
    </row>
    <row r="346" spans="2:7">
      <c r="B346" s="45">
        <f>'Ипотечный калькулятор'!$C$21</f>
        <v>0.29000000000000004</v>
      </c>
      <c r="C346" s="47">
        <v>340</v>
      </c>
      <c r="D346" s="48" t="e">
        <f>PPMT($B346/12,1,$C$5-C346+1,$B$5+SUM($D$7:D345),0)</f>
        <v>#NUM!</v>
      </c>
      <c r="E346" s="48" t="e">
        <f>-($B$5+SUM($D$7:$D345))*$B346/12</f>
        <v>#NUM!</v>
      </c>
      <c r="F346" s="48" t="e">
        <f t="shared" si="5"/>
        <v>#NUM!</v>
      </c>
      <c r="G346" s="48" t="e">
        <f>($B$5+SUM($D$7:$D346))</f>
        <v>#NUM!</v>
      </c>
    </row>
    <row r="347" spans="2:7">
      <c r="B347" s="45">
        <f>'Ипотечный калькулятор'!$C$21</f>
        <v>0.29000000000000004</v>
      </c>
      <c r="C347" s="47">
        <v>341</v>
      </c>
      <c r="D347" s="48" t="e">
        <f>PPMT($B347/12,1,$C$5-C347+1,$B$5+SUM($D$7:D346),0)</f>
        <v>#NUM!</v>
      </c>
      <c r="E347" s="48" t="e">
        <f>-($B$5+SUM($D$7:$D346))*$B347/12</f>
        <v>#NUM!</v>
      </c>
      <c r="F347" s="48" t="e">
        <f t="shared" si="5"/>
        <v>#NUM!</v>
      </c>
      <c r="G347" s="48" t="e">
        <f>($B$5+SUM($D$7:$D347))</f>
        <v>#NUM!</v>
      </c>
    </row>
    <row r="348" spans="2:7">
      <c r="B348" s="45">
        <f>'Ипотечный калькулятор'!$C$21</f>
        <v>0.29000000000000004</v>
      </c>
      <c r="C348" s="47">
        <v>342</v>
      </c>
      <c r="D348" s="48" t="e">
        <f>PPMT($B348/12,1,$C$5-C348+1,$B$5+SUM($D$7:D347),0)</f>
        <v>#NUM!</v>
      </c>
      <c r="E348" s="48" t="e">
        <f>-($B$5+SUM($D$7:$D347))*$B348/12</f>
        <v>#NUM!</v>
      </c>
      <c r="F348" s="48" t="e">
        <f t="shared" si="5"/>
        <v>#NUM!</v>
      </c>
      <c r="G348" s="48" t="e">
        <f>($B$5+SUM($D$7:$D348))</f>
        <v>#NUM!</v>
      </c>
    </row>
    <row r="349" spans="2:7">
      <c r="B349" s="45">
        <f>'Ипотечный калькулятор'!$C$21</f>
        <v>0.29000000000000004</v>
      </c>
      <c r="C349" s="47">
        <v>343</v>
      </c>
      <c r="D349" s="48" t="e">
        <f>PPMT($B349/12,1,$C$5-C349+1,$B$5+SUM($D$7:D348),0)</f>
        <v>#NUM!</v>
      </c>
      <c r="E349" s="48" t="e">
        <f>-($B$5+SUM($D$7:$D348))*$B349/12</f>
        <v>#NUM!</v>
      </c>
      <c r="F349" s="48" t="e">
        <f t="shared" si="5"/>
        <v>#NUM!</v>
      </c>
      <c r="G349" s="48" t="e">
        <f>($B$5+SUM($D$7:$D349))</f>
        <v>#NUM!</v>
      </c>
    </row>
    <row r="350" spans="2:7">
      <c r="B350" s="45">
        <f>'Ипотечный калькулятор'!$C$21</f>
        <v>0.29000000000000004</v>
      </c>
      <c r="C350" s="47">
        <v>344</v>
      </c>
      <c r="D350" s="48" t="e">
        <f>PPMT($B350/12,1,$C$5-C350+1,$B$5+SUM($D$7:D349),0)</f>
        <v>#NUM!</v>
      </c>
      <c r="E350" s="48" t="e">
        <f>-($B$5+SUM($D$7:$D349))*$B350/12</f>
        <v>#NUM!</v>
      </c>
      <c r="F350" s="48" t="e">
        <f t="shared" si="5"/>
        <v>#NUM!</v>
      </c>
      <c r="G350" s="48" t="e">
        <f>($B$5+SUM($D$7:$D350))</f>
        <v>#NUM!</v>
      </c>
    </row>
    <row r="351" spans="2:7">
      <c r="B351" s="45">
        <f>'Ипотечный калькулятор'!$C$21</f>
        <v>0.29000000000000004</v>
      </c>
      <c r="C351" s="47">
        <v>345</v>
      </c>
      <c r="D351" s="48" t="e">
        <f>PPMT($B351/12,1,$C$5-C351+1,$B$5+SUM($D$7:D350),0)</f>
        <v>#NUM!</v>
      </c>
      <c r="E351" s="48" t="e">
        <f>-($B$5+SUM($D$7:$D350))*$B351/12</f>
        <v>#NUM!</v>
      </c>
      <c r="F351" s="48" t="e">
        <f t="shared" si="5"/>
        <v>#NUM!</v>
      </c>
      <c r="G351" s="48" t="e">
        <f>($B$5+SUM($D$7:$D351))</f>
        <v>#NUM!</v>
      </c>
    </row>
    <row r="352" spans="2:7">
      <c r="B352" s="45">
        <f>'Ипотечный калькулятор'!$C$21</f>
        <v>0.29000000000000004</v>
      </c>
      <c r="C352" s="47">
        <v>346</v>
      </c>
      <c r="D352" s="48" t="e">
        <f>PPMT($B352/12,1,$C$5-C352+1,$B$5+SUM($D$7:D351),0)</f>
        <v>#NUM!</v>
      </c>
      <c r="E352" s="48" t="e">
        <f>-($B$5+SUM($D$7:$D351))*$B352/12</f>
        <v>#NUM!</v>
      </c>
      <c r="F352" s="48" t="e">
        <f t="shared" si="5"/>
        <v>#NUM!</v>
      </c>
      <c r="G352" s="48" t="e">
        <f>($B$5+SUM($D$7:$D352))</f>
        <v>#NUM!</v>
      </c>
    </row>
    <row r="353" spans="2:7">
      <c r="B353" s="45">
        <f>'Ипотечный калькулятор'!$C$21</f>
        <v>0.29000000000000004</v>
      </c>
      <c r="C353" s="47">
        <v>347</v>
      </c>
      <c r="D353" s="48" t="e">
        <f>PPMT($B353/12,1,$C$5-C353+1,$B$5+SUM($D$7:D352),0)</f>
        <v>#NUM!</v>
      </c>
      <c r="E353" s="48" t="e">
        <f>-($B$5+SUM($D$7:$D352))*$B353/12</f>
        <v>#NUM!</v>
      </c>
      <c r="F353" s="48" t="e">
        <f t="shared" si="5"/>
        <v>#NUM!</v>
      </c>
      <c r="G353" s="48" t="e">
        <f>($B$5+SUM($D$7:$D353))</f>
        <v>#NUM!</v>
      </c>
    </row>
    <row r="354" spans="2:7">
      <c r="B354" s="45">
        <f>'Ипотечный калькулятор'!$C$21</f>
        <v>0.29000000000000004</v>
      </c>
      <c r="C354" s="47">
        <v>348</v>
      </c>
      <c r="D354" s="48" t="e">
        <f>PPMT($B354/12,1,$C$5-C354+1,$B$5+SUM($D$7:D353),0)</f>
        <v>#NUM!</v>
      </c>
      <c r="E354" s="48" t="e">
        <f>-($B$5+SUM($D$7:$D353))*$B354/12</f>
        <v>#NUM!</v>
      </c>
      <c r="F354" s="48" t="e">
        <f t="shared" si="5"/>
        <v>#NUM!</v>
      </c>
      <c r="G354" s="48" t="e">
        <f>($B$5+SUM($D$7:$D354))</f>
        <v>#NUM!</v>
      </c>
    </row>
    <row r="355" spans="2:7">
      <c r="B355" s="45">
        <f>'Ипотечный калькулятор'!$C$21</f>
        <v>0.29000000000000004</v>
      </c>
      <c r="C355" s="47">
        <v>349</v>
      </c>
      <c r="D355" s="48" t="e">
        <f>PPMT($B355/12,1,$C$5-C355+1,$B$5+SUM($D$7:D354),0)</f>
        <v>#NUM!</v>
      </c>
      <c r="E355" s="48" t="e">
        <f>-($B$5+SUM($D$7:$D354))*$B355/12</f>
        <v>#NUM!</v>
      </c>
      <c r="F355" s="48" t="e">
        <f t="shared" si="5"/>
        <v>#NUM!</v>
      </c>
      <c r="G355" s="48" t="e">
        <f>($B$5+SUM($D$7:$D355))</f>
        <v>#NUM!</v>
      </c>
    </row>
    <row r="356" spans="2:7">
      <c r="B356" s="45">
        <f>'Ипотечный калькулятор'!$C$21</f>
        <v>0.29000000000000004</v>
      </c>
      <c r="C356" s="47">
        <v>350</v>
      </c>
      <c r="D356" s="48" t="e">
        <f>PPMT($B356/12,1,$C$5-C356+1,$B$5+SUM($D$7:D355),0)</f>
        <v>#NUM!</v>
      </c>
      <c r="E356" s="48" t="e">
        <f>-($B$5+SUM($D$7:$D355))*$B356/12</f>
        <v>#NUM!</v>
      </c>
      <c r="F356" s="48" t="e">
        <f t="shared" si="5"/>
        <v>#NUM!</v>
      </c>
      <c r="G356" s="48" t="e">
        <f>($B$5+SUM($D$7:$D356))</f>
        <v>#NUM!</v>
      </c>
    </row>
    <row r="357" spans="2:7">
      <c r="B357" s="45">
        <f>'Ипотечный калькулятор'!$C$21</f>
        <v>0.29000000000000004</v>
      </c>
      <c r="C357" s="47">
        <v>351</v>
      </c>
      <c r="D357" s="48" t="e">
        <f>PPMT($B357/12,1,$C$5-C357+1,$B$5+SUM($D$7:D356),0)</f>
        <v>#NUM!</v>
      </c>
      <c r="E357" s="48" t="e">
        <f>-($B$5+SUM($D$7:$D356))*$B357/12</f>
        <v>#NUM!</v>
      </c>
      <c r="F357" s="48" t="e">
        <f t="shared" si="5"/>
        <v>#NUM!</v>
      </c>
      <c r="G357" s="48" t="e">
        <f>($B$5+SUM($D$7:$D357))</f>
        <v>#NUM!</v>
      </c>
    </row>
    <row r="358" spans="2:7">
      <c r="B358" s="45">
        <f>'Ипотечный калькулятор'!$C$21</f>
        <v>0.29000000000000004</v>
      </c>
      <c r="C358" s="47">
        <v>352</v>
      </c>
      <c r="D358" s="48" t="e">
        <f>PPMT($B358/12,1,$C$5-C358+1,$B$5+SUM($D$7:D357),0)</f>
        <v>#NUM!</v>
      </c>
      <c r="E358" s="48" t="e">
        <f>-($B$5+SUM($D$7:$D357))*$B358/12</f>
        <v>#NUM!</v>
      </c>
      <c r="F358" s="48" t="e">
        <f t="shared" si="5"/>
        <v>#NUM!</v>
      </c>
      <c r="G358" s="48" t="e">
        <f>($B$5+SUM($D$7:$D358))</f>
        <v>#NUM!</v>
      </c>
    </row>
    <row r="359" spans="2:7">
      <c r="B359" s="45">
        <f>'Ипотечный калькулятор'!$C$21</f>
        <v>0.29000000000000004</v>
      </c>
      <c r="C359" s="47">
        <v>353</v>
      </c>
      <c r="D359" s="48" t="e">
        <f>PPMT($B359/12,1,$C$5-C359+1,$B$5+SUM($D$7:D358),0)</f>
        <v>#NUM!</v>
      </c>
      <c r="E359" s="48" t="e">
        <f>-($B$5+SUM($D$7:$D358))*$B359/12</f>
        <v>#NUM!</v>
      </c>
      <c r="F359" s="48" t="e">
        <f t="shared" si="5"/>
        <v>#NUM!</v>
      </c>
      <c r="G359" s="48" t="e">
        <f>($B$5+SUM($D$7:$D359))</f>
        <v>#NUM!</v>
      </c>
    </row>
    <row r="360" spans="2:7">
      <c r="B360" s="45">
        <f>'Ипотечный калькулятор'!$C$21</f>
        <v>0.29000000000000004</v>
      </c>
      <c r="C360" s="47">
        <v>354</v>
      </c>
      <c r="D360" s="48" t="e">
        <f>PPMT($B360/12,1,$C$5-C360+1,$B$5+SUM($D$7:D359),0)</f>
        <v>#NUM!</v>
      </c>
      <c r="E360" s="48" t="e">
        <f>-($B$5+SUM($D$7:$D359))*$B360/12</f>
        <v>#NUM!</v>
      </c>
      <c r="F360" s="48" t="e">
        <f t="shared" si="5"/>
        <v>#NUM!</v>
      </c>
      <c r="G360" s="48" t="e">
        <f>($B$5+SUM($D$7:$D360))</f>
        <v>#NUM!</v>
      </c>
    </row>
    <row r="361" spans="2:7">
      <c r="B361" s="45">
        <f>'Ипотечный калькулятор'!$C$21</f>
        <v>0.29000000000000004</v>
      </c>
      <c r="C361" s="47">
        <v>355</v>
      </c>
      <c r="D361" s="48" t="e">
        <f>PPMT($B361/12,1,$C$5-C361+1,$B$5+SUM($D$7:D360),0)</f>
        <v>#NUM!</v>
      </c>
      <c r="E361" s="48" t="e">
        <f>-($B$5+SUM($D$7:$D360))*$B361/12</f>
        <v>#NUM!</v>
      </c>
      <c r="F361" s="48" t="e">
        <f t="shared" si="5"/>
        <v>#NUM!</v>
      </c>
      <c r="G361" s="48" t="e">
        <f>($B$5+SUM($D$7:$D361))</f>
        <v>#NUM!</v>
      </c>
    </row>
    <row r="362" spans="2:7">
      <c r="B362" s="45">
        <f>'Ипотечный калькулятор'!$C$21</f>
        <v>0.29000000000000004</v>
      </c>
      <c r="C362" s="47">
        <v>356</v>
      </c>
      <c r="D362" s="48" t="e">
        <f>PPMT($B362/12,1,$C$5-C362+1,$B$5+SUM($D$7:D361),0)</f>
        <v>#NUM!</v>
      </c>
      <c r="E362" s="48" t="e">
        <f>-($B$5+SUM($D$7:$D361))*$B362/12</f>
        <v>#NUM!</v>
      </c>
      <c r="F362" s="48" t="e">
        <f t="shared" si="5"/>
        <v>#NUM!</v>
      </c>
      <c r="G362" s="48" t="e">
        <f>($B$5+SUM($D$7:$D362))</f>
        <v>#NUM!</v>
      </c>
    </row>
    <row r="363" spans="2:7">
      <c r="B363" s="45">
        <f>'Ипотечный калькулятор'!$C$21</f>
        <v>0.29000000000000004</v>
      </c>
      <c r="C363" s="47">
        <v>357</v>
      </c>
      <c r="D363" s="48" t="e">
        <f>PPMT($B363/12,1,$C$5-C363+1,$B$5+SUM($D$7:D362),0)</f>
        <v>#NUM!</v>
      </c>
      <c r="E363" s="48" t="e">
        <f>-($B$5+SUM($D$7:$D362))*$B363/12</f>
        <v>#NUM!</v>
      </c>
      <c r="F363" s="48" t="e">
        <f t="shared" si="5"/>
        <v>#NUM!</v>
      </c>
      <c r="G363" s="48" t="e">
        <f>($B$5+SUM($D$7:$D363))</f>
        <v>#NUM!</v>
      </c>
    </row>
    <row r="364" spans="2:7">
      <c r="B364" s="45">
        <f>'Ипотечный калькулятор'!$C$21</f>
        <v>0.29000000000000004</v>
      </c>
      <c r="C364" s="47">
        <v>358</v>
      </c>
      <c r="D364" s="48" t="e">
        <f>PPMT($B364/12,1,$C$5-C364+1,$B$5+SUM($D$7:D363),0)</f>
        <v>#NUM!</v>
      </c>
      <c r="E364" s="48" t="e">
        <f>-($B$5+SUM($D$7:$D363))*$B364/12</f>
        <v>#NUM!</v>
      </c>
      <c r="F364" s="48" t="e">
        <f t="shared" si="5"/>
        <v>#NUM!</v>
      </c>
      <c r="G364" s="48" t="e">
        <f>($B$5+SUM($D$7:$D364))</f>
        <v>#NUM!</v>
      </c>
    </row>
    <row r="365" spans="2:7">
      <c r="B365" s="45">
        <f>'Ипотечный калькулятор'!$C$21</f>
        <v>0.29000000000000004</v>
      </c>
      <c r="C365" s="47">
        <v>359</v>
      </c>
      <c r="D365" s="48" t="e">
        <f>PPMT($B365/12,1,$C$5-C365+1,$B$5+SUM($D$7:D364),0)</f>
        <v>#NUM!</v>
      </c>
      <c r="E365" s="48" t="e">
        <f>-($B$5+SUM($D$7:$D364))*$B365/12</f>
        <v>#NUM!</v>
      </c>
      <c r="F365" s="48" t="e">
        <f t="shared" si="5"/>
        <v>#NUM!</v>
      </c>
      <c r="G365" s="48" t="e">
        <f>($B$5+SUM($D$7:$D365))</f>
        <v>#NUM!</v>
      </c>
    </row>
    <row r="366" spans="2:7">
      <c r="B366" s="45">
        <f>'Ипотечный калькулятор'!$C$21</f>
        <v>0.29000000000000004</v>
      </c>
      <c r="C366" s="47">
        <v>360</v>
      </c>
      <c r="D366" s="48" t="e">
        <f>PPMT($B366/12,1,$C$5-C366+1,$B$5+SUM($D$7:D365),0)</f>
        <v>#NUM!</v>
      </c>
      <c r="E366" s="48" t="e">
        <f>-($B$5+SUM($D$7:$D365))*$B366/12</f>
        <v>#NUM!</v>
      </c>
      <c r="F366" s="48" t="e">
        <f t="shared" si="5"/>
        <v>#NUM!</v>
      </c>
      <c r="G366" s="48" t="e">
        <f>($B$5+SUM($D$7:$D366))</f>
        <v>#NUM!</v>
      </c>
    </row>
    <row r="367" spans="2:7">
      <c r="B367" s="45">
        <f>'Ипотечный калькулятор'!$C$21</f>
        <v>0.29000000000000004</v>
      </c>
      <c r="C367" s="47">
        <v>361</v>
      </c>
      <c r="D367" s="48" t="e">
        <f>PPMT($B367/12,1,$C$5-C367+1,$B$5+SUM($D$7:D366),0)</f>
        <v>#NUM!</v>
      </c>
      <c r="E367" s="48" t="e">
        <f>-($B$5+SUM($D$7:$D366))*$B367/12</f>
        <v>#NUM!</v>
      </c>
      <c r="F367" s="48" t="e">
        <f t="shared" si="5"/>
        <v>#NUM!</v>
      </c>
      <c r="G367" s="48" t="e">
        <f>($B$5+SUM($D$7:$D367))</f>
        <v>#NUM!</v>
      </c>
    </row>
    <row r="368" spans="2:7">
      <c r="B368" s="45">
        <f>'Ипотечный калькулятор'!$C$21</f>
        <v>0.29000000000000004</v>
      </c>
      <c r="C368" s="47">
        <v>362</v>
      </c>
      <c r="D368" s="48" t="e">
        <f>PPMT($B368/12,1,$C$5-C368+1,$B$5+SUM($D$7:D367),0)</f>
        <v>#NUM!</v>
      </c>
      <c r="E368" s="48" t="e">
        <f>-($B$5+SUM($D$7:$D367))*$B368/12</f>
        <v>#NUM!</v>
      </c>
      <c r="F368" s="48" t="e">
        <f t="shared" si="5"/>
        <v>#NUM!</v>
      </c>
      <c r="G368" s="48" t="e">
        <f>($B$5+SUM($D$7:$D368))</f>
        <v>#NUM!</v>
      </c>
    </row>
    <row r="369" spans="2:7">
      <c r="B369" s="45">
        <f>'Ипотечный калькулятор'!$C$21</f>
        <v>0.29000000000000004</v>
      </c>
      <c r="C369" s="47">
        <v>363</v>
      </c>
      <c r="D369" s="48" t="e">
        <f>PPMT($B369/12,1,$C$5-C369+1,$B$5+SUM($D$7:D368),0)</f>
        <v>#NUM!</v>
      </c>
      <c r="E369" s="48" t="e">
        <f>-($B$5+SUM($D$7:$D368))*$B369/12</f>
        <v>#NUM!</v>
      </c>
      <c r="F369" s="48" t="e">
        <f t="shared" si="5"/>
        <v>#NUM!</v>
      </c>
      <c r="G369" s="48" t="e">
        <f>($B$5+SUM($D$7:$D369))</f>
        <v>#NUM!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1CBF-B3F4-4FCD-8B2F-FE507C17A6F1}">
  <dimension ref="B1:R374"/>
  <sheetViews>
    <sheetView zoomScale="70" zoomScaleNormal="70" workbookViewId="0">
      <selection activeCell="E60" sqref="E60"/>
    </sheetView>
  </sheetViews>
  <sheetFormatPr defaultRowHeight="15" outlineLevelCol="1"/>
  <cols>
    <col min="2" max="2" width="18.140625" style="9" bestFit="1" customWidth="1"/>
    <col min="3" max="3" width="12.7109375" style="9" bestFit="1" customWidth="1"/>
    <col min="4" max="4" width="18.28515625" style="9" bestFit="1" customWidth="1"/>
    <col min="5" max="5" width="16.85546875" style="9" bestFit="1" customWidth="1"/>
    <col min="6" max="6" width="31.7109375" style="9" bestFit="1" customWidth="1"/>
    <col min="7" max="7" width="30.7109375" style="9" customWidth="1"/>
    <col min="11" max="11" width="52.140625" bestFit="1" customWidth="1"/>
    <col min="12" max="12" width="35" bestFit="1" customWidth="1"/>
    <col min="13" max="13" width="13.28515625" bestFit="1" customWidth="1"/>
    <col min="14" max="14" width="22.28515625" hidden="1" customWidth="1" outlineLevel="1"/>
    <col min="15" max="15" width="16.85546875" hidden="1" customWidth="1" outlineLevel="1"/>
    <col min="16" max="16" width="22.28515625" hidden="1" customWidth="1" outlineLevel="1"/>
    <col min="17" max="17" width="30.7109375" hidden="1" customWidth="1" outlineLevel="1"/>
    <col min="18" max="18" width="9.140625" collapsed="1"/>
  </cols>
  <sheetData>
    <row r="1" spans="2:17" ht="15.75" thickBot="1"/>
    <row r="2" spans="2:17" ht="21.75" thickBot="1">
      <c r="B2" s="142" t="s">
        <v>20</v>
      </c>
      <c r="C2" s="143"/>
      <c r="D2" s="143"/>
      <c r="E2" s="143"/>
      <c r="F2" s="143"/>
      <c r="G2" s="144"/>
      <c r="K2" s="142" t="s">
        <v>21</v>
      </c>
      <c r="L2" s="143"/>
      <c r="M2" s="144"/>
    </row>
    <row r="3" spans="2:17" ht="15.75" thickBot="1">
      <c r="K3" s="9"/>
      <c r="L3" s="9"/>
      <c r="M3" s="9"/>
    </row>
    <row r="4" spans="2:17" ht="19.5" thickBot="1">
      <c r="B4" s="117" t="s">
        <v>12</v>
      </c>
      <c r="C4" s="117" t="s">
        <v>13</v>
      </c>
      <c r="D4" s="118"/>
      <c r="E4" s="118"/>
      <c r="F4" s="117" t="s">
        <v>18</v>
      </c>
      <c r="G4" s="117" t="s">
        <v>9</v>
      </c>
      <c r="H4" s="116"/>
      <c r="I4" s="116"/>
      <c r="J4" s="116"/>
      <c r="K4" s="117" t="s">
        <v>22</v>
      </c>
      <c r="L4" s="117" t="s">
        <v>23</v>
      </c>
      <c r="M4" s="9"/>
    </row>
    <row r="5" spans="2:17" ht="18.75">
      <c r="B5" s="126">
        <f>'Ипотечный калькулятор'!C8</f>
        <v>7000000</v>
      </c>
      <c r="C5" s="126">
        <f>'Ипотечный калькулятор'!C12</f>
        <v>240</v>
      </c>
      <c r="D5" s="127"/>
      <c r="E5" s="127"/>
      <c r="F5" s="128">
        <f>F15</f>
        <v>-169730.53509148819</v>
      </c>
      <c r="G5" s="128">
        <f>-SUM(E13:E374)</f>
        <v>33734764.553532355</v>
      </c>
      <c r="H5" s="116"/>
      <c r="I5" s="116"/>
      <c r="J5" s="116"/>
      <c r="K5" s="124">
        <v>3.7999999999999999E-2</v>
      </c>
      <c r="L5" s="125">
        <v>130</v>
      </c>
      <c r="M5" s="9"/>
      <c r="N5" s="136" t="s">
        <v>24</v>
      </c>
      <c r="O5" s="137"/>
      <c r="P5" s="137"/>
      <c r="Q5" s="138"/>
    </row>
    <row r="6" spans="2:17" ht="19.5" thickBot="1">
      <c r="B6" s="115"/>
      <c r="C6" s="115"/>
      <c r="D6" s="115"/>
      <c r="E6" s="115"/>
      <c r="F6" s="115"/>
      <c r="G6" s="115"/>
      <c r="H6" s="116"/>
      <c r="I6" s="116"/>
      <c r="J6" s="116"/>
      <c r="K6" s="116"/>
      <c r="L6" s="116"/>
      <c r="N6" s="139"/>
      <c r="O6" s="140"/>
      <c r="P6" s="140"/>
      <c r="Q6" s="141"/>
    </row>
    <row r="7" spans="2:17" ht="19.5" thickBot="1">
      <c r="B7" s="115"/>
      <c r="C7" s="115"/>
      <c r="D7" s="115"/>
      <c r="E7" s="115"/>
      <c r="F7" s="115"/>
      <c r="G7" s="115"/>
      <c r="H7" s="116"/>
      <c r="I7" s="116"/>
      <c r="J7" s="116"/>
      <c r="K7" s="117" t="s">
        <v>25</v>
      </c>
      <c r="L7" s="117" t="s">
        <v>26</v>
      </c>
    </row>
    <row r="8" spans="2:17" ht="18.75">
      <c r="B8" s="115"/>
      <c r="C8" s="115"/>
      <c r="D8" s="115"/>
      <c r="E8" s="115"/>
      <c r="F8" s="115"/>
      <c r="G8" s="115"/>
      <c r="H8" s="116"/>
      <c r="I8" s="116"/>
      <c r="J8" s="116"/>
      <c r="K8" s="123">
        <f>M14</f>
        <v>-127929.4243647845</v>
      </c>
      <c r="L8" s="123">
        <f>SUM(M13:M374)</f>
        <v>-16630825.16742201</v>
      </c>
    </row>
    <row r="9" spans="2:17" ht="15.75" thickBot="1"/>
    <row r="10" spans="2:17" ht="21.75" thickBot="1">
      <c r="B10" s="142" t="s">
        <v>27</v>
      </c>
      <c r="C10" s="143"/>
      <c r="D10" s="143"/>
      <c r="E10" s="143"/>
      <c r="F10" s="143"/>
      <c r="G10" s="144"/>
      <c r="K10" s="142" t="s">
        <v>28</v>
      </c>
      <c r="L10" s="143"/>
      <c r="M10" s="144"/>
    </row>
    <row r="11" spans="2:17" ht="15.75" thickBot="1"/>
    <row r="12" spans="2:17" ht="15.75" thickBot="1">
      <c r="B12" s="119" t="s">
        <v>14</v>
      </c>
      <c r="C12" s="120" t="s">
        <v>15</v>
      </c>
      <c r="D12" s="120" t="s">
        <v>16</v>
      </c>
      <c r="E12" s="120" t="s">
        <v>17</v>
      </c>
      <c r="F12" s="120" t="s">
        <v>18</v>
      </c>
      <c r="G12" s="121" t="s">
        <v>19</v>
      </c>
      <c r="K12" s="119" t="s">
        <v>29</v>
      </c>
      <c r="L12" s="120" t="s">
        <v>15</v>
      </c>
      <c r="M12" s="122" t="s">
        <v>30</v>
      </c>
      <c r="N12" s="129" t="s">
        <v>16</v>
      </c>
      <c r="O12" s="129" t="s">
        <v>17</v>
      </c>
      <c r="P12" s="129" t="s">
        <v>18</v>
      </c>
      <c r="Q12" s="129" t="s">
        <v>19</v>
      </c>
    </row>
    <row r="13" spans="2:17">
      <c r="B13" s="45">
        <f>'Ипотечный калькулятор'!$C$21</f>
        <v>0.29000000000000004</v>
      </c>
      <c r="C13" s="46">
        <v>1</v>
      </c>
      <c r="D13" s="48">
        <v>0</v>
      </c>
      <c r="E13" s="48">
        <f>IFERROR(-$B$5*$B$13/12,0)</f>
        <v>-169166.66666666669</v>
      </c>
      <c r="F13" s="48">
        <f t="shared" ref="F13:F76" si="0">SUM(D13:E13)</f>
        <v>-169166.66666666669</v>
      </c>
      <c r="G13" s="48">
        <f>($B$5+SUM(D13:$D$13))</f>
        <v>7000000</v>
      </c>
      <c r="K13" s="45">
        <f>$K$5</f>
        <v>3.7999999999999999E-2</v>
      </c>
      <c r="L13" s="46">
        <v>1</v>
      </c>
      <c r="M13" s="5">
        <v>0</v>
      </c>
      <c r="N13" s="48">
        <v>0</v>
      </c>
      <c r="O13" s="48">
        <f>-$B$5*$K$13/12</f>
        <v>-22166.666666666668</v>
      </c>
      <c r="P13" s="48">
        <f>SUM(N13:O13)</f>
        <v>-22166.666666666668</v>
      </c>
      <c r="Q13" s="48">
        <f>($B$5+SUM($N13:N$13))</f>
        <v>7000000</v>
      </c>
    </row>
    <row r="14" spans="2:17">
      <c r="B14" s="45">
        <f>'Ипотечный калькулятор'!$C$21</f>
        <v>0.29000000000000004</v>
      </c>
      <c r="C14" s="47">
        <v>2</v>
      </c>
      <c r="D14" s="48">
        <f>PPMT($B14/12,1,$C$5-C14+1,$B$5+SUM($D13:D$13),0)</f>
        <v>-563.86842482148404</v>
      </c>
      <c r="E14" s="48">
        <f>IFERROR(-($B$5+SUM($D$13:$D13))*$B14/12,0)</f>
        <v>-169166.66666666669</v>
      </c>
      <c r="F14" s="48">
        <f t="shared" si="0"/>
        <v>-169730.53509148816</v>
      </c>
      <c r="G14" s="48">
        <f>($B$5+SUM($D$13:$D14))</f>
        <v>6999436.1315751784</v>
      </c>
      <c r="K14" s="45">
        <f t="shared" ref="K14:K77" si="1">$K$5</f>
        <v>3.7999999999999999E-2</v>
      </c>
      <c r="L14" s="47">
        <v>2</v>
      </c>
      <c r="M14" s="5">
        <f>IF(C14-2&lt;$L$5,IFERROR(F14-P14,0),0)</f>
        <v>-127929.4243647845</v>
      </c>
      <c r="N14" s="48">
        <f>PPMT($K14/12,1,$C$5-L14+1,$B$5+SUM($N13:N$13),0)</f>
        <v>-19634.444060036993</v>
      </c>
      <c r="O14" s="48">
        <f>-($B$5+SUM($N$13:$N13))*$K14/12</f>
        <v>-22166.666666666668</v>
      </c>
      <c r="P14" s="48">
        <f>SUM(N14:O14)</f>
        <v>-41801.110726703657</v>
      </c>
      <c r="Q14" s="48">
        <f>($B$5+SUM($D$13:$D14))</f>
        <v>6999436.1315751784</v>
      </c>
    </row>
    <row r="15" spans="2:17">
      <c r="B15" s="45">
        <f>'Ипотечный калькулятор'!$C$21</f>
        <v>0.29000000000000004</v>
      </c>
      <c r="C15" s="46">
        <v>3</v>
      </c>
      <c r="D15" s="48">
        <f>PPMT($B15/12,1,$C$5-C15+1,$B$5+SUM($D$13:D14),0)</f>
        <v>-577.49524508800346</v>
      </c>
      <c r="E15" s="48">
        <f>IFERROR(-($B$5+SUM($D$13:$D14))*$B15/12,0)</f>
        <v>-169153.03984640018</v>
      </c>
      <c r="F15" s="48">
        <f t="shared" si="0"/>
        <v>-169730.53509148819</v>
      </c>
      <c r="G15" s="48">
        <f>($B$5+SUM($D$13:$D15))</f>
        <v>6998858.6363300905</v>
      </c>
      <c r="K15" s="45">
        <f t="shared" si="1"/>
        <v>3.7999999999999999E-2</v>
      </c>
      <c r="L15" s="46">
        <v>3</v>
      </c>
      <c r="M15" s="5">
        <f t="shared" ref="M15:M78" si="2">IF(C15-2&lt;$L$5,IFERROR(F15-P15,0),0)</f>
        <v>-127929.42436478453</v>
      </c>
      <c r="N15" s="48">
        <f>PPMT($K15/12,1,$C$5-L15+1,$B$5+SUM($N$13:N14),0)</f>
        <v>-19696.619799560445</v>
      </c>
      <c r="O15" s="48">
        <f>-($B$5+SUM($N$13:$N14))*$K15/12</f>
        <v>-22104.490927143215</v>
      </c>
      <c r="P15" s="48">
        <f t="shared" ref="P15:P78" si="3">SUM(N15:O15)</f>
        <v>-41801.110726703657</v>
      </c>
      <c r="Q15" s="48">
        <f>($B$5+SUM($D$13:$D15))</f>
        <v>6998858.6363300905</v>
      </c>
    </row>
    <row r="16" spans="2:17">
      <c r="B16" s="45">
        <f>'Ипотечный калькулятор'!$C$21</f>
        <v>0.29000000000000004</v>
      </c>
      <c r="C16" s="47">
        <v>4</v>
      </c>
      <c r="D16" s="48">
        <f>PPMT($B16/12,1,$C$5-C16+1,$B$5+SUM($D$13:D15),0)</f>
        <v>-591.45138017763043</v>
      </c>
      <c r="E16" s="48">
        <f>IFERROR(-($B$5+SUM($D$13:$D15))*$B16/12,0)</f>
        <v>-169139.08371131055</v>
      </c>
      <c r="F16" s="48">
        <f t="shared" si="0"/>
        <v>-169730.53509148819</v>
      </c>
      <c r="G16" s="48">
        <f>($B$5+SUM($D$13:$D16))</f>
        <v>6998267.1849499131</v>
      </c>
      <c r="K16" s="45">
        <f t="shared" si="1"/>
        <v>3.7999999999999999E-2</v>
      </c>
      <c r="L16" s="47">
        <v>4</v>
      </c>
      <c r="M16" s="5">
        <f t="shared" si="2"/>
        <v>-127929.42436478453</v>
      </c>
      <c r="N16" s="48">
        <f>PPMT($K16/12,1,$C$5-L16+1,$B$5+SUM($N$13:N15),0)</f>
        <v>-19758.992428925718</v>
      </c>
      <c r="O16" s="48">
        <f>-($B$5+SUM($N$13:$N15))*$K16/12</f>
        <v>-22042.118297777939</v>
      </c>
      <c r="P16" s="48">
        <f t="shared" si="3"/>
        <v>-41801.110726703657</v>
      </c>
      <c r="Q16" s="48">
        <f>($B$5+SUM($D$13:$D16))</f>
        <v>6998267.1849499131</v>
      </c>
    </row>
    <row r="17" spans="2:17">
      <c r="B17" s="45">
        <f>'Ипотечный калькулятор'!$C$21</f>
        <v>0.29000000000000004</v>
      </c>
      <c r="C17" s="46">
        <v>5</v>
      </c>
      <c r="D17" s="48">
        <f>PPMT($B17/12,1,$C$5-C17+1,$B$5+SUM($D$13:D16),0)</f>
        <v>-605.74478853192295</v>
      </c>
      <c r="E17" s="48">
        <f>IFERROR(-($B$5+SUM($D$13:$D16))*$B17/12,0)</f>
        <v>-169124.79030295624</v>
      </c>
      <c r="F17" s="48">
        <f t="shared" si="0"/>
        <v>-169730.53509148816</v>
      </c>
      <c r="G17" s="48">
        <f>($B$5+SUM($D$13:$D17))</f>
        <v>6997661.4401613809</v>
      </c>
      <c r="K17" s="45">
        <f t="shared" si="1"/>
        <v>3.7999999999999999E-2</v>
      </c>
      <c r="L17" s="46">
        <v>5</v>
      </c>
      <c r="M17" s="5">
        <f t="shared" si="2"/>
        <v>-127929.4243647845</v>
      </c>
      <c r="N17" s="48">
        <f>PPMT($K17/12,1,$C$5-L17+1,$B$5+SUM($N$13:N16),0)</f>
        <v>-19821.56257161732</v>
      </c>
      <c r="O17" s="48">
        <f>-($B$5+SUM($N$13:$N16))*$K17/12</f>
        <v>-21979.548155086344</v>
      </c>
      <c r="P17" s="48">
        <f t="shared" si="3"/>
        <v>-41801.110726703664</v>
      </c>
      <c r="Q17" s="48">
        <f>($B$5+SUM($D$13:$D17))</f>
        <v>6997661.4401613809</v>
      </c>
    </row>
    <row r="18" spans="2:17">
      <c r="B18" s="45">
        <f>'Ипотечный калькулятор'!$C$21</f>
        <v>0.29000000000000004</v>
      </c>
      <c r="C18" s="47">
        <v>6</v>
      </c>
      <c r="D18" s="48">
        <f>PPMT($B18/12,1,$C$5-C18+1,$B$5+SUM($D$13:D17),0)</f>
        <v>-620.38362092144416</v>
      </c>
      <c r="E18" s="48">
        <f>IFERROR(-($B$5+SUM($D$13:$D17))*$B18/12,0)</f>
        <v>-169110.15147056672</v>
      </c>
      <c r="F18" s="48">
        <f t="shared" si="0"/>
        <v>-169730.53509148816</v>
      </c>
      <c r="G18" s="48">
        <f>($B$5+SUM($D$13:$D18))</f>
        <v>6997041.0565404594</v>
      </c>
      <c r="K18" s="45">
        <f t="shared" si="1"/>
        <v>3.7999999999999999E-2</v>
      </c>
      <c r="L18" s="47">
        <v>6</v>
      </c>
      <c r="M18" s="5">
        <f t="shared" si="2"/>
        <v>-127929.4243647845</v>
      </c>
      <c r="N18" s="48">
        <f>PPMT($K18/12,1,$C$5-L18+1,$B$5+SUM($N$13:N17),0)</f>
        <v>-19884.330853094107</v>
      </c>
      <c r="O18" s="48">
        <f>-($B$5+SUM($N$13:$N17))*$K18/12</f>
        <v>-21916.779873609554</v>
      </c>
      <c r="P18" s="48">
        <f t="shared" si="3"/>
        <v>-41801.110726703657</v>
      </c>
      <c r="Q18" s="48">
        <f>($B$5+SUM($D$13:$D18))</f>
        <v>6997041.0565404594</v>
      </c>
    </row>
    <row r="19" spans="2:17">
      <c r="B19" s="45">
        <f>'Ипотечный калькулятор'!$C$21</f>
        <v>0.29000000000000004</v>
      </c>
      <c r="C19" s="46">
        <v>7</v>
      </c>
      <c r="D19" s="48">
        <f>PPMT($B19/12,1,$C$5-C19+1,$B$5+SUM($D$13:D18),0)</f>
        <v>-635.37622509371261</v>
      </c>
      <c r="E19" s="48">
        <f>IFERROR(-($B$5+SUM($D$13:$D18))*$B19/12,0)</f>
        <v>-169095.15886639446</v>
      </c>
      <c r="F19" s="48">
        <f t="shared" si="0"/>
        <v>-169730.53509148816</v>
      </c>
      <c r="G19" s="48">
        <f>($B$5+SUM($D$13:$D19))</f>
        <v>6996405.680315366</v>
      </c>
      <c r="K19" s="45">
        <f t="shared" si="1"/>
        <v>3.7999999999999999E-2</v>
      </c>
      <c r="L19" s="46">
        <v>7</v>
      </c>
      <c r="M19" s="5">
        <f t="shared" si="2"/>
        <v>-127929.4243647845</v>
      </c>
      <c r="N19" s="48">
        <f>PPMT($K19/12,1,$C$5-L19+1,$B$5+SUM($N$13:N18),0)</f>
        <v>-19947.297900795573</v>
      </c>
      <c r="O19" s="48">
        <f>-($B$5+SUM($N$13:$N18))*$K19/12</f>
        <v>-21853.812825908088</v>
      </c>
      <c r="P19" s="48">
        <f t="shared" si="3"/>
        <v>-41801.110726703657</v>
      </c>
      <c r="Q19" s="48">
        <f>($B$5+SUM($D$13:$D19))</f>
        <v>6996405.680315366</v>
      </c>
    </row>
    <row r="20" spans="2:17">
      <c r="B20" s="45">
        <f>'Ипотечный калькулятор'!$C$21</f>
        <v>0.29000000000000004</v>
      </c>
      <c r="C20" s="47">
        <v>8</v>
      </c>
      <c r="D20" s="48">
        <f>PPMT($B20/12,1,$C$5-C20+1,$B$5+SUM($D$13:D19),0)</f>
        <v>-650.7311505334776</v>
      </c>
      <c r="E20" s="48">
        <f>IFERROR(-($B$5+SUM($D$13:$D19))*$B20/12,0)</f>
        <v>-169079.80394095471</v>
      </c>
      <c r="F20" s="48">
        <f t="shared" si="0"/>
        <v>-169730.53509148819</v>
      </c>
      <c r="G20" s="48">
        <f>($B$5+SUM($D$13:$D20))</f>
        <v>6995754.949164832</v>
      </c>
      <c r="K20" s="45">
        <f t="shared" si="1"/>
        <v>3.7999999999999999E-2</v>
      </c>
      <c r="L20" s="47">
        <v>8</v>
      </c>
      <c r="M20" s="5">
        <f t="shared" si="2"/>
        <v>-127929.42436478451</v>
      </c>
      <c r="N20" s="48">
        <f>PPMT($K20/12,1,$C$5-L20+1,$B$5+SUM($N$13:N19),0)</f>
        <v>-20010.464344148098</v>
      </c>
      <c r="O20" s="48">
        <f>-($B$5+SUM($N$13:$N19))*$K20/12</f>
        <v>-21790.646382555573</v>
      </c>
      <c r="P20" s="48">
        <f t="shared" si="3"/>
        <v>-41801.110726703671</v>
      </c>
      <c r="Q20" s="48">
        <f>($B$5+SUM($D$13:$D20))</f>
        <v>6995754.949164832</v>
      </c>
    </row>
    <row r="21" spans="2:17">
      <c r="B21" s="45">
        <f>'Ипотечный калькулятор'!$C$21</f>
        <v>0.29000000000000004</v>
      </c>
      <c r="C21" s="46">
        <v>9</v>
      </c>
      <c r="D21" s="48">
        <f>PPMT($B21/12,1,$C$5-C21+1,$B$5+SUM($D$13:D20),0)</f>
        <v>-666.45715333803639</v>
      </c>
      <c r="E21" s="48">
        <f>IFERROR(-($B$5+SUM($D$13:$D20))*$B21/12,0)</f>
        <v>-169064.07793815012</v>
      </c>
      <c r="F21" s="48">
        <f t="shared" si="0"/>
        <v>-169730.53509148816</v>
      </c>
      <c r="G21" s="48">
        <f>($B$5+SUM($D$13:$D21))</f>
        <v>6995088.492011494</v>
      </c>
      <c r="K21" s="45">
        <f t="shared" si="1"/>
        <v>3.7999999999999999E-2</v>
      </c>
      <c r="L21" s="46">
        <v>9</v>
      </c>
      <c r="M21" s="5">
        <f t="shared" si="2"/>
        <v>-127929.4243647845</v>
      </c>
      <c r="N21" s="48">
        <f>PPMT($K21/12,1,$C$5-L21+1,$B$5+SUM($N$13:N20),0)</f>
        <v>-20073.830814571225</v>
      </c>
      <c r="O21" s="48">
        <f>-($B$5+SUM($N$13:$N20))*$K21/12</f>
        <v>-21727.279912132435</v>
      </c>
      <c r="P21" s="48">
        <f t="shared" si="3"/>
        <v>-41801.110726703657</v>
      </c>
      <c r="Q21" s="48">
        <f>($B$5+SUM($D$13:$D21))</f>
        <v>6995088.492011494</v>
      </c>
    </row>
    <row r="22" spans="2:17">
      <c r="B22" s="45">
        <f>'Ипотечный калькулятор'!$C$21</f>
        <v>0.29000000000000004</v>
      </c>
      <c r="C22" s="47">
        <v>10</v>
      </c>
      <c r="D22" s="48">
        <f>PPMT($B22/12,1,$C$5-C22+1,$B$5+SUM($D$13:D21),0)</f>
        <v>-682.56320121037197</v>
      </c>
      <c r="E22" s="48">
        <f>IFERROR(-($B$5+SUM($D$13:$D21))*$B22/12,0)</f>
        <v>-169047.97189027778</v>
      </c>
      <c r="F22" s="48">
        <f t="shared" si="0"/>
        <v>-169730.53509148816</v>
      </c>
      <c r="G22" s="48">
        <f>($B$5+SUM($D$13:$D22))</f>
        <v>6994405.9288102835</v>
      </c>
      <c r="K22" s="45">
        <f t="shared" si="1"/>
        <v>3.7999999999999999E-2</v>
      </c>
      <c r="L22" s="47">
        <v>10</v>
      </c>
      <c r="M22" s="5">
        <f t="shared" si="2"/>
        <v>-127929.42436478449</v>
      </c>
      <c r="N22" s="48">
        <f>PPMT($K22/12,1,$C$5-L22+1,$B$5+SUM($N$13:N21),0)</f>
        <v>-20137.397945484041</v>
      </c>
      <c r="O22" s="48">
        <f>-($B$5+SUM($N$13:$N21))*$K22/12</f>
        <v>-21663.712781219627</v>
      </c>
      <c r="P22" s="48">
        <f t="shared" si="3"/>
        <v>-41801.110726703671</v>
      </c>
      <c r="Q22" s="48">
        <f>($B$5+SUM($D$13:$D22))</f>
        <v>6994405.9288102835</v>
      </c>
    </row>
    <row r="23" spans="2:17">
      <c r="B23" s="45">
        <f>'Ипотечный калькулятор'!$C$21</f>
        <v>0.29000000000000004</v>
      </c>
      <c r="C23" s="46">
        <v>11</v>
      </c>
      <c r="D23" s="48">
        <f>PPMT($B23/12,1,$C$5-C23+1,$B$5+SUM($D$13:D22),0)</f>
        <v>-699.05847857295623</v>
      </c>
      <c r="E23" s="48">
        <f>IFERROR(-($B$5+SUM($D$13:$D22))*$B23/12,0)</f>
        <v>-169031.4766129152</v>
      </c>
      <c r="F23" s="48">
        <f t="shared" si="0"/>
        <v>-169730.53509148816</v>
      </c>
      <c r="G23" s="48">
        <f>($B$5+SUM($D$13:$D23))</f>
        <v>6993706.8703317111</v>
      </c>
      <c r="K23" s="45">
        <f t="shared" si="1"/>
        <v>3.7999999999999999E-2</v>
      </c>
      <c r="L23" s="46">
        <v>11</v>
      </c>
      <c r="M23" s="5">
        <f t="shared" si="2"/>
        <v>-127929.42436478449</v>
      </c>
      <c r="N23" s="48">
        <f>PPMT($K23/12,1,$C$5-L23+1,$B$5+SUM($N$13:N22),0)</f>
        <v>-20201.166372311407</v>
      </c>
      <c r="O23" s="48">
        <f>-($B$5+SUM($N$13:$N22))*$K23/12</f>
        <v>-21599.944354392261</v>
      </c>
      <c r="P23" s="48">
        <f t="shared" si="3"/>
        <v>-41801.110726703671</v>
      </c>
      <c r="Q23" s="48">
        <f>($B$5+SUM($D$13:$D23))</f>
        <v>6993706.8703317111</v>
      </c>
    </row>
    <row r="24" spans="2:17">
      <c r="B24" s="45">
        <f>'Ипотечный калькулятор'!$C$21</f>
        <v>0.29000000000000004</v>
      </c>
      <c r="C24" s="47">
        <v>12</v>
      </c>
      <c r="D24" s="48">
        <f>PPMT($B24/12,1,$C$5-C24+1,$B$5+SUM($D$13:D23),0)</f>
        <v>-715.95239180513636</v>
      </c>
      <c r="E24" s="48">
        <f>IFERROR(-($B$5+SUM($D$13:$D23))*$B24/12,0)</f>
        <v>-169014.58269968306</v>
      </c>
      <c r="F24" s="48">
        <f t="shared" si="0"/>
        <v>-169730.53509148819</v>
      </c>
      <c r="G24" s="48">
        <f>($B$5+SUM($D$13:$D24))</f>
        <v>6992990.917939906</v>
      </c>
      <c r="K24" s="45">
        <f t="shared" si="1"/>
        <v>3.7999999999999999E-2</v>
      </c>
      <c r="L24" s="47">
        <v>12</v>
      </c>
      <c r="M24" s="5">
        <f t="shared" si="2"/>
        <v>-127929.42436478453</v>
      </c>
      <c r="N24" s="48">
        <f>PPMT($K24/12,1,$C$5-L24+1,$B$5+SUM($N$13:N23),0)</f>
        <v>-20265.136732490391</v>
      </c>
      <c r="O24" s="48">
        <f>-($B$5+SUM($N$13:$N23))*$K24/12</f>
        <v>-21535.973994213273</v>
      </c>
      <c r="P24" s="48">
        <f t="shared" si="3"/>
        <v>-41801.110726703664</v>
      </c>
      <c r="Q24" s="48">
        <f>($B$5+SUM($D$13:$D24))</f>
        <v>6992990.917939906</v>
      </c>
    </row>
    <row r="25" spans="2:17">
      <c r="B25" s="45">
        <f>'Ипотечный калькулятор'!$C$21</f>
        <v>0.29000000000000004</v>
      </c>
      <c r="C25" s="46">
        <v>13</v>
      </c>
      <c r="D25" s="48">
        <f>PPMT($B25/12,1,$C$5-C25+1,$B$5+SUM($D$13:D24),0)</f>
        <v>-733.25457460709345</v>
      </c>
      <c r="E25" s="48">
        <f>IFERROR(-($B$5+SUM($D$13:$D24))*$B25/12,0)</f>
        <v>-168997.28051688109</v>
      </c>
      <c r="F25" s="48">
        <f t="shared" si="0"/>
        <v>-169730.53509148819</v>
      </c>
      <c r="G25" s="48">
        <f>($B$5+SUM($D$13:$D25))</f>
        <v>6992257.6633652989</v>
      </c>
      <c r="K25" s="45">
        <f t="shared" si="1"/>
        <v>3.7999999999999999E-2</v>
      </c>
      <c r="L25" s="46">
        <v>13</v>
      </c>
      <c r="M25" s="5">
        <f t="shared" si="2"/>
        <v>-127929.42436478453</v>
      </c>
      <c r="N25" s="48">
        <f>PPMT($K25/12,1,$C$5-L25+1,$B$5+SUM($N$13:N24),0)</f>
        <v>-20329.309665476605</v>
      </c>
      <c r="O25" s="48">
        <f>-($B$5+SUM($N$13:$N24))*$K25/12</f>
        <v>-21471.801061227055</v>
      </c>
      <c r="P25" s="48">
        <f t="shared" si="3"/>
        <v>-41801.110726703657</v>
      </c>
      <c r="Q25" s="48">
        <f>($B$5+SUM($D$13:$D25))</f>
        <v>6992257.6633652989</v>
      </c>
    </row>
    <row r="26" spans="2:17">
      <c r="B26" s="45">
        <f>'Ипотечный калькулятор'!$C$21</f>
        <v>0.29000000000000004</v>
      </c>
      <c r="C26" s="47">
        <v>14</v>
      </c>
      <c r="D26" s="48">
        <f>PPMT($B26/12,1,$C$5-C26+1,$B$5+SUM($D$13:D25),0)</f>
        <v>-750.97489349343118</v>
      </c>
      <c r="E26" s="48">
        <f>IFERROR(-($B$5+SUM($D$13:$D25))*$B26/12,0)</f>
        <v>-168979.56019799475</v>
      </c>
      <c r="F26" s="48">
        <f t="shared" si="0"/>
        <v>-169730.53509148819</v>
      </c>
      <c r="G26" s="48">
        <f>($B$5+SUM($D$13:$D26))</f>
        <v>6991506.6884718053</v>
      </c>
      <c r="K26" s="45">
        <f t="shared" si="1"/>
        <v>3.7999999999999999E-2</v>
      </c>
      <c r="L26" s="47">
        <v>14</v>
      </c>
      <c r="M26" s="5">
        <f t="shared" si="2"/>
        <v>-127929.42436478451</v>
      </c>
      <c r="N26" s="48">
        <f>PPMT($K26/12,1,$C$5-L26+1,$B$5+SUM($N$13:N25),0)</f>
        <v>-20393.68581275062</v>
      </c>
      <c r="O26" s="48">
        <f>-($B$5+SUM($N$13:$N25))*$K26/12</f>
        <v>-21407.424913953048</v>
      </c>
      <c r="P26" s="48">
        <f t="shared" si="3"/>
        <v>-41801.110726703671</v>
      </c>
      <c r="Q26" s="48">
        <f>($B$5+SUM($D$13:$D26))</f>
        <v>6991506.6884718053</v>
      </c>
    </row>
    <row r="27" spans="2:17">
      <c r="B27" s="45">
        <f>'Ипотечный калькулятор'!$C$21</f>
        <v>0.29000000000000004</v>
      </c>
      <c r="C27" s="46">
        <v>15</v>
      </c>
      <c r="D27" s="48">
        <f>PPMT($B27/12,1,$C$5-C27+1,$B$5+SUM($D$13:D26),0)</f>
        <v>-769.12345341952289</v>
      </c>
      <c r="E27" s="48">
        <f>IFERROR(-($B$5+SUM($D$13:$D26))*$B27/12,0)</f>
        <v>-168961.41163806865</v>
      </c>
      <c r="F27" s="48">
        <f t="shared" si="0"/>
        <v>-169730.53509148816</v>
      </c>
      <c r="G27" s="48">
        <f>($B$5+SUM($D$13:$D27))</f>
        <v>6990737.5650183856</v>
      </c>
      <c r="K27" s="45">
        <f t="shared" si="1"/>
        <v>3.7999999999999999E-2</v>
      </c>
      <c r="L27" s="46">
        <v>15</v>
      </c>
      <c r="M27" s="5">
        <f t="shared" si="2"/>
        <v>-127929.4243647845</v>
      </c>
      <c r="N27" s="48">
        <f>PPMT($K27/12,1,$C$5-L27+1,$B$5+SUM($N$13:N26),0)</f>
        <v>-20458.265817824329</v>
      </c>
      <c r="O27" s="48">
        <f>-($B$5+SUM($N$13:$N26))*$K27/12</f>
        <v>-21342.844908879335</v>
      </c>
      <c r="P27" s="48">
        <f t="shared" si="3"/>
        <v>-41801.110726703664</v>
      </c>
      <c r="Q27" s="48">
        <f>($B$5+SUM($D$13:$D27))</f>
        <v>6990737.5650183856</v>
      </c>
    </row>
    <row r="28" spans="2:17">
      <c r="B28" s="45">
        <f>'Ипотечный калькулятор'!$C$21</f>
        <v>0.29000000000000004</v>
      </c>
      <c r="C28" s="47">
        <v>16</v>
      </c>
      <c r="D28" s="48">
        <f>PPMT($B28/12,1,$C$5-C28+1,$B$5+SUM($D$13:D27),0)</f>
        <v>-787.71060354382837</v>
      </c>
      <c r="E28" s="48">
        <f>IFERROR(-($B$5+SUM($D$13:$D27))*$B28/12,0)</f>
        <v>-168942.82448794434</v>
      </c>
      <c r="F28" s="48">
        <f t="shared" si="0"/>
        <v>-169730.53509148816</v>
      </c>
      <c r="G28" s="48">
        <f>($B$5+SUM($D$13:$D28))</f>
        <v>6989949.8544148421</v>
      </c>
      <c r="K28" s="45">
        <f t="shared" si="1"/>
        <v>3.7999999999999999E-2</v>
      </c>
      <c r="L28" s="47">
        <v>16</v>
      </c>
      <c r="M28" s="5">
        <f t="shared" si="2"/>
        <v>-127929.4243647845</v>
      </c>
      <c r="N28" s="48">
        <f>PPMT($K28/12,1,$C$5-L28+1,$B$5+SUM($N$13:N27),0)</f>
        <v>-20523.050326247434</v>
      </c>
      <c r="O28" s="48">
        <f>-($B$5+SUM($N$13:$N27))*$K28/12</f>
        <v>-21278.060400456223</v>
      </c>
      <c r="P28" s="48">
        <f t="shared" si="3"/>
        <v>-41801.110726703657</v>
      </c>
      <c r="Q28" s="48">
        <f>($B$5+SUM($D$13:$D28))</f>
        <v>6989949.8544148421</v>
      </c>
    </row>
    <row r="29" spans="2:17">
      <c r="B29" s="45">
        <f>'Ипотечный калькулятор'!$C$21</f>
        <v>0.29000000000000004</v>
      </c>
      <c r="C29" s="46">
        <v>17</v>
      </c>
      <c r="D29" s="48">
        <f>PPMT($B29/12,1,$C$5-C29+1,$B$5+SUM($D$13:D28),0)</f>
        <v>-806.74694312947042</v>
      </c>
      <c r="E29" s="48">
        <f>IFERROR(-($B$5+SUM($D$13:$D28))*$B29/12,0)</f>
        <v>-168923.7881483587</v>
      </c>
      <c r="F29" s="48">
        <f t="shared" si="0"/>
        <v>-169730.53509148816</v>
      </c>
      <c r="G29" s="48">
        <f>($B$5+SUM($D$13:$D29))</f>
        <v>6989143.1074717129</v>
      </c>
      <c r="K29" s="45">
        <f t="shared" si="1"/>
        <v>3.7999999999999999E-2</v>
      </c>
      <c r="L29" s="46">
        <v>17</v>
      </c>
      <c r="M29" s="5">
        <f t="shared" si="2"/>
        <v>-127929.42436478449</v>
      </c>
      <c r="N29" s="48">
        <f>PPMT($K29/12,1,$C$5-L29+1,$B$5+SUM($N$13:N28),0)</f>
        <v>-20588.03998561389</v>
      </c>
      <c r="O29" s="48">
        <f>-($B$5+SUM($N$13:$N28))*$K29/12</f>
        <v>-21213.070741089778</v>
      </c>
      <c r="P29" s="48">
        <f t="shared" si="3"/>
        <v>-41801.110726703671</v>
      </c>
      <c r="Q29" s="48">
        <f>($B$5+SUM($D$13:$D29))</f>
        <v>6989143.1074717129</v>
      </c>
    </row>
    <row r="30" spans="2:17">
      <c r="B30" s="45">
        <f>'Ипотечный калькулятор'!$C$21</f>
        <v>0.29000000000000004</v>
      </c>
      <c r="C30" s="47">
        <v>18</v>
      </c>
      <c r="D30" s="48">
        <f>PPMT($B30/12,1,$C$5-C30+1,$B$5+SUM($D$13:D29),0)</f>
        <v>-826.24332758843252</v>
      </c>
      <c r="E30" s="48">
        <f>IFERROR(-($B$5+SUM($D$13:$D29))*$B30/12,0)</f>
        <v>-168904.29176389976</v>
      </c>
      <c r="F30" s="48">
        <f t="shared" si="0"/>
        <v>-169730.53509148819</v>
      </c>
      <c r="G30" s="48">
        <f>($B$5+SUM($D$13:$D30))</f>
        <v>6988316.8641441241</v>
      </c>
      <c r="K30" s="45">
        <f t="shared" si="1"/>
        <v>3.7999999999999999E-2</v>
      </c>
      <c r="L30" s="47">
        <v>18</v>
      </c>
      <c r="M30" s="5">
        <f t="shared" si="2"/>
        <v>-127929.42436478453</v>
      </c>
      <c r="N30" s="48">
        <f>PPMT($K30/12,1,$C$5-L30+1,$B$5+SUM($N$13:N29),0)</f>
        <v>-20653.235445568334</v>
      </c>
      <c r="O30" s="48">
        <f>-($B$5+SUM($N$13:$N29))*$K30/12</f>
        <v>-21147.87528113533</v>
      </c>
      <c r="P30" s="48">
        <f t="shared" si="3"/>
        <v>-41801.110726703664</v>
      </c>
      <c r="Q30" s="48">
        <f>($B$5+SUM($D$13:$D30))</f>
        <v>6988316.8641441241</v>
      </c>
    </row>
    <row r="31" spans="2:17">
      <c r="B31" s="45">
        <f>'Ипотечный калькулятор'!$C$21</f>
        <v>0.29000000000000004</v>
      </c>
      <c r="C31" s="46">
        <v>19</v>
      </c>
      <c r="D31" s="48">
        <f>PPMT($B31/12,1,$C$5-C31+1,$B$5+SUM($D$13:D30),0)</f>
        <v>-846.21087467181985</v>
      </c>
      <c r="E31" s="48">
        <f>IFERROR(-($B$5+SUM($D$13:$D30))*$B31/12,0)</f>
        <v>-168884.32421681637</v>
      </c>
      <c r="F31" s="48">
        <f t="shared" si="0"/>
        <v>-169730.53509148819</v>
      </c>
      <c r="G31" s="48">
        <f>($B$5+SUM($D$13:$D31))</f>
        <v>6987470.653269452</v>
      </c>
      <c r="K31" s="45">
        <f t="shared" si="1"/>
        <v>3.7999999999999999E-2</v>
      </c>
      <c r="L31" s="46">
        <v>19</v>
      </c>
      <c r="M31" s="5">
        <f t="shared" si="2"/>
        <v>-127929.42436478453</v>
      </c>
      <c r="N31" s="48">
        <f>PPMT($K31/12,1,$C$5-L31+1,$B$5+SUM($N$13:N30),0)</f>
        <v>-20718.637357812633</v>
      </c>
      <c r="O31" s="48">
        <f>-($B$5+SUM($N$13:$N30))*$K31/12</f>
        <v>-21082.473368891031</v>
      </c>
      <c r="P31" s="48">
        <f t="shared" si="3"/>
        <v>-41801.110726703664</v>
      </c>
      <c r="Q31" s="48">
        <f>($B$5+SUM($D$13:$D31))</f>
        <v>6987470.653269452</v>
      </c>
    </row>
    <row r="32" spans="2:17">
      <c r="B32" s="45">
        <f>'Ипотечный калькулятор'!$C$21</f>
        <v>0.29000000000000004</v>
      </c>
      <c r="C32" s="47">
        <v>20</v>
      </c>
      <c r="D32" s="48">
        <f>PPMT($B32/12,1,$C$5-C32+1,$B$5+SUM($D$13:D31),0)</f>
        <v>-866.66097080972258</v>
      </c>
      <c r="E32" s="48">
        <f>IFERROR(-($B$5+SUM($D$13:$D31))*$B32/12,0)</f>
        <v>-168863.87412067843</v>
      </c>
      <c r="F32" s="48">
        <f t="shared" si="0"/>
        <v>-169730.53509148816</v>
      </c>
      <c r="G32" s="48">
        <f>($B$5+SUM($D$13:$D32))</f>
        <v>6986603.9922986422</v>
      </c>
      <c r="K32" s="45">
        <f t="shared" si="1"/>
        <v>3.7999999999999999E-2</v>
      </c>
      <c r="L32" s="47">
        <v>20</v>
      </c>
      <c r="M32" s="5">
        <f t="shared" si="2"/>
        <v>-127929.4243647845</v>
      </c>
      <c r="N32" s="48">
        <f>PPMT($K32/12,1,$C$5-L32+1,$B$5+SUM($N$13:N31),0)</f>
        <v>-20784.246376112376</v>
      </c>
      <c r="O32" s="48">
        <f>-($B$5+SUM($N$13:$N31))*$K32/12</f>
        <v>-21016.864350591288</v>
      </c>
      <c r="P32" s="48">
        <f t="shared" si="3"/>
        <v>-41801.110726703664</v>
      </c>
      <c r="Q32" s="48">
        <f>($B$5+SUM($D$13:$D32))</f>
        <v>6986603.9922986422</v>
      </c>
    </row>
    <row r="33" spans="2:17">
      <c r="B33" s="45">
        <f>'Ипотечный калькулятор'!$C$21</f>
        <v>0.29000000000000004</v>
      </c>
      <c r="C33" s="46">
        <v>21</v>
      </c>
      <c r="D33" s="48">
        <f>PPMT($B33/12,1,$C$5-C33+1,$B$5+SUM($D$13:D32),0)</f>
        <v>-887.60527760429056</v>
      </c>
      <c r="E33" s="48">
        <f>IFERROR(-($B$5+SUM($D$13:$D32))*$B33/12,0)</f>
        <v>-168842.92981388388</v>
      </c>
      <c r="F33" s="48">
        <f t="shared" si="0"/>
        <v>-169730.53509148816</v>
      </c>
      <c r="G33" s="48">
        <f>($B$5+SUM($D$13:$D33))</f>
        <v>6985716.3870210377</v>
      </c>
      <c r="K33" s="45">
        <f t="shared" si="1"/>
        <v>3.7999999999999999E-2</v>
      </c>
      <c r="L33" s="46">
        <v>21</v>
      </c>
      <c r="M33" s="5">
        <f t="shared" si="2"/>
        <v>-127929.4243647845</v>
      </c>
      <c r="N33" s="48">
        <f>PPMT($K33/12,1,$C$5-L33+1,$B$5+SUM($N$13:N32),0)</f>
        <v>-20850.063156303397</v>
      </c>
      <c r="O33" s="48">
        <f>-($B$5+SUM($N$13:$N32))*$K33/12</f>
        <v>-20951.047570400267</v>
      </c>
      <c r="P33" s="48">
        <f t="shared" si="3"/>
        <v>-41801.110726703664</v>
      </c>
      <c r="Q33" s="48">
        <f>($B$5+SUM($D$13:$D33))</f>
        <v>6985716.3870210377</v>
      </c>
    </row>
    <row r="34" spans="2:17">
      <c r="B34" s="45">
        <f>'Ипотечный калькулятор'!$C$21</f>
        <v>0.29000000000000004</v>
      </c>
      <c r="C34" s="47">
        <v>22</v>
      </c>
      <c r="D34" s="48">
        <f>PPMT($B34/12,1,$C$5-C34+1,$B$5+SUM($D$13:D33),0)</f>
        <v>-909.0557384797271</v>
      </c>
      <c r="E34" s="48">
        <f>IFERROR(-($B$5+SUM($D$13:$D33))*$B34/12,0)</f>
        <v>-168821.47935300844</v>
      </c>
      <c r="F34" s="48">
        <f t="shared" si="0"/>
        <v>-169730.53509148816</v>
      </c>
      <c r="G34" s="48">
        <f>($B$5+SUM($D$13:$D34))</f>
        <v>6984807.3312825589</v>
      </c>
      <c r="K34" s="45">
        <f t="shared" si="1"/>
        <v>3.7999999999999999E-2</v>
      </c>
      <c r="L34" s="47">
        <v>22</v>
      </c>
      <c r="M34" s="5">
        <f t="shared" si="2"/>
        <v>-127929.42436478449</v>
      </c>
      <c r="N34" s="48">
        <f>PPMT($K34/12,1,$C$5-L34+1,$B$5+SUM($N$13:N33),0)</f>
        <v>-20916.088356298358</v>
      </c>
      <c r="O34" s="48">
        <f>-($B$5+SUM($N$13:$N33))*$K34/12</f>
        <v>-20885.02237040531</v>
      </c>
      <c r="P34" s="48">
        <f t="shared" si="3"/>
        <v>-41801.110726703671</v>
      </c>
      <c r="Q34" s="48">
        <f>($B$5+SUM($D$13:$D34))</f>
        <v>6984807.3312825589</v>
      </c>
    </row>
    <row r="35" spans="2:17">
      <c r="B35" s="45">
        <f>'Ипотечный калькулятор'!$C$21</f>
        <v>0.29000000000000004</v>
      </c>
      <c r="C35" s="46">
        <v>23</v>
      </c>
      <c r="D35" s="48">
        <f>PPMT($B35/12,1,$C$5-C35+1,$B$5+SUM($D$13:D34),0)</f>
        <v>-931.02458549298751</v>
      </c>
      <c r="E35" s="48">
        <f>IFERROR(-($B$5+SUM($D$13:$D34))*$B35/12,0)</f>
        <v>-168799.51050599519</v>
      </c>
      <c r="F35" s="48">
        <f t="shared" si="0"/>
        <v>-169730.53509148819</v>
      </c>
      <c r="G35" s="48">
        <f>($B$5+SUM($D$13:$D35))</f>
        <v>6983876.3066970659</v>
      </c>
      <c r="K35" s="45">
        <f t="shared" si="1"/>
        <v>3.7999999999999999E-2</v>
      </c>
      <c r="L35" s="46">
        <v>23</v>
      </c>
      <c r="M35" s="5">
        <f t="shared" si="2"/>
        <v>-127929.42436478453</v>
      </c>
      <c r="N35" s="48">
        <f>PPMT($K35/12,1,$C$5-L35+1,$B$5+SUM($N$13:N34),0)</f>
        <v>-20982.3226360933</v>
      </c>
      <c r="O35" s="48">
        <f>-($B$5+SUM($N$13:$N34))*$K35/12</f>
        <v>-20818.788090610364</v>
      </c>
      <c r="P35" s="48">
        <f t="shared" si="3"/>
        <v>-41801.110726703664</v>
      </c>
      <c r="Q35" s="48">
        <f>($B$5+SUM($D$13:$D35))</f>
        <v>6983876.3066970659</v>
      </c>
    </row>
    <row r="36" spans="2:17">
      <c r="B36" s="45">
        <f>'Ипотечный калькулятор'!$C$21</f>
        <v>0.29000000000000004</v>
      </c>
      <c r="C36" s="47">
        <v>24</v>
      </c>
      <c r="D36" s="48">
        <f>PPMT($B36/12,1,$C$5-C36+1,$B$5+SUM($D$13:D35),0)</f>
        <v>-953.52434630906839</v>
      </c>
      <c r="E36" s="48">
        <f>IFERROR(-($B$5+SUM($D$13:$D35))*$B36/12,0)</f>
        <v>-168777.01074517911</v>
      </c>
      <c r="F36" s="48">
        <f t="shared" si="0"/>
        <v>-169730.53509148819</v>
      </c>
      <c r="G36" s="48">
        <f>($B$5+SUM($D$13:$D36))</f>
        <v>6982922.7823507562</v>
      </c>
      <c r="K36" s="45">
        <f t="shared" si="1"/>
        <v>3.7999999999999999E-2</v>
      </c>
      <c r="L36" s="47">
        <v>24</v>
      </c>
      <c r="M36" s="5">
        <f t="shared" si="2"/>
        <v>-127929.42436478453</v>
      </c>
      <c r="N36" s="48">
        <f>PPMT($K36/12,1,$C$5-L36+1,$B$5+SUM($N$13:N35),0)</f>
        <v>-21048.766657774264</v>
      </c>
      <c r="O36" s="48">
        <f>-($B$5+SUM($N$13:$N35))*$K36/12</f>
        <v>-20752.3440689294</v>
      </c>
      <c r="P36" s="48">
        <f t="shared" si="3"/>
        <v>-41801.110726703664</v>
      </c>
      <c r="Q36" s="48">
        <f>($B$5+SUM($D$13:$D36))</f>
        <v>6982922.7823507562</v>
      </c>
    </row>
    <row r="37" spans="2:17">
      <c r="B37" s="45">
        <f>'Ипотечный калькулятор'!$C$21</f>
        <v>0.29000000000000004</v>
      </c>
      <c r="C37" s="46">
        <v>25</v>
      </c>
      <c r="D37" s="48">
        <f>PPMT($B37/12,1,$C$5-C37+1,$B$5+SUM($D$13:D36),0)</f>
        <v>-976.56785134487052</v>
      </c>
      <c r="E37" s="48">
        <f>IFERROR(-($B$5+SUM($D$13:$D36))*$B37/12,0)</f>
        <v>-168753.96724014331</v>
      </c>
      <c r="F37" s="48">
        <f t="shared" si="0"/>
        <v>-169730.53509148819</v>
      </c>
      <c r="G37" s="48">
        <f>($B$5+SUM($D$13:$D37))</f>
        <v>6981946.2144994112</v>
      </c>
      <c r="K37" s="45">
        <f t="shared" si="1"/>
        <v>3.7999999999999999E-2</v>
      </c>
      <c r="L37" s="46">
        <v>25</v>
      </c>
      <c r="M37" s="5">
        <f t="shared" si="2"/>
        <v>-127929.42436478453</v>
      </c>
      <c r="N37" s="48">
        <f>PPMT($K37/12,1,$C$5-L37+1,$B$5+SUM($N$13:N36),0)</f>
        <v>-21115.421085523878</v>
      </c>
      <c r="O37" s="48">
        <f>-($B$5+SUM($N$13:$N36))*$K37/12</f>
        <v>-20685.689641179782</v>
      </c>
      <c r="P37" s="48">
        <f t="shared" si="3"/>
        <v>-41801.110726703657</v>
      </c>
      <c r="Q37" s="48">
        <f>($B$5+SUM($D$13:$D37))</f>
        <v>6981946.2144994112</v>
      </c>
    </row>
    <row r="38" spans="2:17">
      <c r="B38" s="45">
        <f>'Ипотечный калькулятор'!$C$21</f>
        <v>0.29000000000000004</v>
      </c>
      <c r="C38" s="47">
        <v>26</v>
      </c>
      <c r="D38" s="48">
        <f>PPMT($B38/12,1,$C$5-C38+1,$B$5+SUM($D$13:D37),0)</f>
        <v>-1000.1682410857043</v>
      </c>
      <c r="E38" s="48">
        <f>IFERROR(-($B$5+SUM($D$13:$D37))*$B38/12,0)</f>
        <v>-168730.36685040247</v>
      </c>
      <c r="F38" s="48">
        <f t="shared" si="0"/>
        <v>-169730.53509148819</v>
      </c>
      <c r="G38" s="48">
        <f>($B$5+SUM($D$13:$D38))</f>
        <v>6980946.0462583257</v>
      </c>
      <c r="K38" s="45">
        <f t="shared" si="1"/>
        <v>3.7999999999999999E-2</v>
      </c>
      <c r="L38" s="47">
        <v>26</v>
      </c>
      <c r="M38" s="5">
        <f t="shared" si="2"/>
        <v>-127929.42436478453</v>
      </c>
      <c r="N38" s="48">
        <f>PPMT($K38/12,1,$C$5-L38+1,$B$5+SUM($N$13:N37),0)</f>
        <v>-21182.28658562804</v>
      </c>
      <c r="O38" s="48">
        <f>-($B$5+SUM($N$13:$N37))*$K38/12</f>
        <v>-20618.824141075624</v>
      </c>
      <c r="P38" s="48">
        <f t="shared" si="3"/>
        <v>-41801.110726703664</v>
      </c>
      <c r="Q38" s="48">
        <f>($B$5+SUM($D$13:$D38))</f>
        <v>6980946.0462583257</v>
      </c>
    </row>
    <row r="39" spans="2:17">
      <c r="B39" s="45">
        <f>'Ипотечный калькулятор'!$C$21</f>
        <v>0.29000000000000004</v>
      </c>
      <c r="C39" s="46">
        <v>27</v>
      </c>
      <c r="D39" s="48">
        <f>PPMT($B39/12,1,$C$5-C39+1,$B$5+SUM($D$13:D38),0)</f>
        <v>-1024.3389735786095</v>
      </c>
      <c r="E39" s="48">
        <f>IFERROR(-($B$5+SUM($D$13:$D38))*$B39/12,0)</f>
        <v>-168706.19611790957</v>
      </c>
      <c r="F39" s="48">
        <f t="shared" si="0"/>
        <v>-169730.53509148819</v>
      </c>
      <c r="G39" s="48">
        <f>($B$5+SUM($D$13:$D39))</f>
        <v>6979921.7072847476</v>
      </c>
      <c r="K39" s="45">
        <f t="shared" si="1"/>
        <v>3.7999999999999999E-2</v>
      </c>
      <c r="L39" s="46">
        <v>27</v>
      </c>
      <c r="M39" s="5">
        <f t="shared" si="2"/>
        <v>-127929.42436478453</v>
      </c>
      <c r="N39" s="48">
        <f>PPMT($K39/12,1,$C$5-L39+1,$B$5+SUM($N$13:N38),0)</f>
        <v>-21249.363826482531</v>
      </c>
      <c r="O39" s="48">
        <f>-($B$5+SUM($N$13:$N38))*$K39/12</f>
        <v>-20551.746900221133</v>
      </c>
      <c r="P39" s="48">
        <f t="shared" si="3"/>
        <v>-41801.110726703664</v>
      </c>
      <c r="Q39" s="48">
        <f>($B$5+SUM($D$13:$D39))</f>
        <v>6979921.7072847476</v>
      </c>
    </row>
    <row r="40" spans="2:17">
      <c r="B40" s="45">
        <f>'Ипотечный калькулятор'!$C$21</f>
        <v>0.29000000000000004</v>
      </c>
      <c r="C40" s="47">
        <v>28</v>
      </c>
      <c r="D40" s="48">
        <f>PPMT($B40/12,1,$C$5-C40+1,$B$5+SUM($D$13:D39),0)</f>
        <v>-1049.0938321067597</v>
      </c>
      <c r="E40" s="48">
        <f>IFERROR(-($B$5+SUM($D$13:$D39))*$B40/12,0)</f>
        <v>-168681.44125938142</v>
      </c>
      <c r="F40" s="48">
        <f t="shared" si="0"/>
        <v>-169730.53509148819</v>
      </c>
      <c r="G40" s="48">
        <f>($B$5+SUM($D$13:$D40))</f>
        <v>6978872.6134526404</v>
      </c>
      <c r="K40" s="45">
        <f t="shared" si="1"/>
        <v>3.7999999999999999E-2</v>
      </c>
      <c r="L40" s="47">
        <v>28</v>
      </c>
      <c r="M40" s="5">
        <f t="shared" si="2"/>
        <v>-127929.42436478451</v>
      </c>
      <c r="N40" s="48">
        <f>PPMT($K40/12,1,$C$5-L40+1,$B$5+SUM($N$13:N39),0)</f>
        <v>-21316.653478599728</v>
      </c>
      <c r="O40" s="48">
        <f>-($B$5+SUM($N$13:$N39))*$K40/12</f>
        <v>-20484.457248103939</v>
      </c>
      <c r="P40" s="48">
        <f t="shared" si="3"/>
        <v>-41801.110726703671</v>
      </c>
      <c r="Q40" s="48">
        <f>($B$5+SUM($D$13:$D40))</f>
        <v>6978872.6134526404</v>
      </c>
    </row>
    <row r="41" spans="2:17">
      <c r="B41" s="45">
        <f>'Ипотечный калькулятор'!$C$21</f>
        <v>0.29000000000000004</v>
      </c>
      <c r="C41" s="46">
        <v>29</v>
      </c>
      <c r="D41" s="48">
        <f>PPMT($B41/12,1,$C$5-C41+1,$B$5+SUM($D$13:D40),0)</f>
        <v>-1074.4469330493393</v>
      </c>
      <c r="E41" s="48">
        <f>IFERROR(-($B$5+SUM($D$13:$D40))*$B41/12,0)</f>
        <v>-168656.08815843883</v>
      </c>
      <c r="F41" s="48">
        <f t="shared" si="0"/>
        <v>-169730.53509148816</v>
      </c>
      <c r="G41" s="48">
        <f>($B$5+SUM($D$13:$D41))</f>
        <v>6977798.1665195916</v>
      </c>
      <c r="K41" s="45">
        <f t="shared" si="1"/>
        <v>3.7999999999999999E-2</v>
      </c>
      <c r="L41" s="46">
        <v>29</v>
      </c>
      <c r="M41" s="5">
        <f t="shared" si="2"/>
        <v>-127929.4243647845</v>
      </c>
      <c r="N41" s="48">
        <f>PPMT($K41/12,1,$C$5-L41+1,$B$5+SUM($N$13:N40),0)</f>
        <v>-21384.156214615286</v>
      </c>
      <c r="O41" s="48">
        <f>-($B$5+SUM($N$13:$N40))*$K41/12</f>
        <v>-20416.954512088374</v>
      </c>
      <c r="P41" s="48">
        <f t="shared" si="3"/>
        <v>-41801.110726703657</v>
      </c>
      <c r="Q41" s="48">
        <f>($B$5+SUM($D$13:$D41))</f>
        <v>6977798.1665195916</v>
      </c>
    </row>
    <row r="42" spans="2:17">
      <c r="B42" s="45">
        <f>'Ипотечный калькулятор'!$C$21</f>
        <v>0.29000000000000004</v>
      </c>
      <c r="C42" s="47">
        <v>30</v>
      </c>
      <c r="D42" s="48">
        <f>PPMT($B42/12,1,$C$5-C42+1,$B$5+SUM($D$13:D41),0)</f>
        <v>-1100.4127339313643</v>
      </c>
      <c r="E42" s="48">
        <f>IFERROR(-($B$5+SUM($D$13:$D41))*$B42/12,0)</f>
        <v>-168630.1223575568</v>
      </c>
      <c r="F42" s="48">
        <f t="shared" si="0"/>
        <v>-169730.53509148816</v>
      </c>
      <c r="G42" s="48">
        <f>($B$5+SUM($D$13:$D42))</f>
        <v>6976697.7537856596</v>
      </c>
      <c r="K42" s="45">
        <f t="shared" si="1"/>
        <v>3.7999999999999999E-2</v>
      </c>
      <c r="L42" s="47">
        <v>30</v>
      </c>
      <c r="M42" s="5">
        <f t="shared" si="2"/>
        <v>-127929.4243647845</v>
      </c>
      <c r="N42" s="48">
        <f>PPMT($K42/12,1,$C$5-L42+1,$B$5+SUM($N$13:N41),0)</f>
        <v>-21451.872709294905</v>
      </c>
      <c r="O42" s="48">
        <f>-($B$5+SUM($N$13:$N41))*$K42/12</f>
        <v>-20349.238017408756</v>
      </c>
      <c r="P42" s="48">
        <f t="shared" si="3"/>
        <v>-41801.110726703657</v>
      </c>
      <c r="Q42" s="48">
        <f>($B$5+SUM($D$13:$D42))</f>
        <v>6976697.7537856596</v>
      </c>
    </row>
    <row r="43" spans="2:17">
      <c r="B43" s="45">
        <f>'Ипотечный калькулятор'!$C$21</f>
        <v>0.29000000000000004</v>
      </c>
      <c r="C43" s="46">
        <v>31</v>
      </c>
      <c r="D43" s="48">
        <f>PPMT($B43/12,1,$C$5-C43+1,$B$5+SUM($D$13:D42),0)</f>
        <v>-1127.0060416680394</v>
      </c>
      <c r="E43" s="48">
        <f>IFERROR(-($B$5+SUM($D$13:$D42))*$B43/12,0)</f>
        <v>-168603.52904982012</v>
      </c>
      <c r="F43" s="48">
        <f t="shared" si="0"/>
        <v>-169730.53509148816</v>
      </c>
      <c r="G43" s="48">
        <f>($B$5+SUM($D$13:$D43))</f>
        <v>6975570.7477439921</v>
      </c>
      <c r="K43" s="45">
        <f t="shared" si="1"/>
        <v>3.7999999999999999E-2</v>
      </c>
      <c r="L43" s="46">
        <v>31</v>
      </c>
      <c r="M43" s="5">
        <f t="shared" si="2"/>
        <v>-127929.42436478449</v>
      </c>
      <c r="N43" s="48">
        <f>PPMT($K43/12,1,$C$5-L43+1,$B$5+SUM($N$13:N42),0)</f>
        <v>-21519.803639541009</v>
      </c>
      <c r="O43" s="48">
        <f>-($B$5+SUM($N$13:$N42))*$K43/12</f>
        <v>-20281.307087162659</v>
      </c>
      <c r="P43" s="48">
        <f t="shared" si="3"/>
        <v>-41801.110726703671</v>
      </c>
      <c r="Q43" s="48">
        <f>($B$5+SUM($D$13:$D43))</f>
        <v>6975570.7477439921</v>
      </c>
    </row>
    <row r="44" spans="2:17">
      <c r="B44" s="45">
        <f>'Ипотечный калькулятор'!$C$21</f>
        <v>0.29000000000000004</v>
      </c>
      <c r="C44" s="47">
        <v>32</v>
      </c>
      <c r="D44" s="48">
        <f>PPMT($B44/12,1,$C$5-C44+1,$B$5+SUM($D$13:D43),0)</f>
        <v>-1154.2420210083512</v>
      </c>
      <c r="E44" s="48">
        <f>IFERROR(-($B$5+SUM($D$13:$D43))*$B44/12,0)</f>
        <v>-168576.29307047985</v>
      </c>
      <c r="F44" s="48">
        <f t="shared" si="0"/>
        <v>-169730.53509148821</v>
      </c>
      <c r="G44" s="48">
        <f>($B$5+SUM($D$13:$D44))</f>
        <v>6974416.5057229837</v>
      </c>
      <c r="K44" s="45">
        <f t="shared" si="1"/>
        <v>3.7999999999999999E-2</v>
      </c>
      <c r="L44" s="47">
        <v>32</v>
      </c>
      <c r="M44" s="5">
        <f t="shared" si="2"/>
        <v>-127929.42436478456</v>
      </c>
      <c r="N44" s="48">
        <f>PPMT($K44/12,1,$C$5-L44+1,$B$5+SUM($N$13:N43),0)</f>
        <v>-21587.949684399551</v>
      </c>
      <c r="O44" s="48">
        <f>-($B$5+SUM($N$13:$N43))*$K44/12</f>
        <v>-20213.161042304113</v>
      </c>
      <c r="P44" s="48">
        <f t="shared" si="3"/>
        <v>-41801.110726703664</v>
      </c>
      <c r="Q44" s="48">
        <f>($B$5+SUM($D$13:$D44))</f>
        <v>6974416.5057229837</v>
      </c>
    </row>
    <row r="45" spans="2:17">
      <c r="B45" s="45">
        <f>'Ипотечный калькулятор'!$C$21</f>
        <v>0.29000000000000004</v>
      </c>
      <c r="C45" s="46">
        <v>33</v>
      </c>
      <c r="D45" s="48">
        <f>PPMT($B45/12,1,$C$5-C45+1,$B$5+SUM($D$13:D44),0)</f>
        <v>-1182.1362031827191</v>
      </c>
      <c r="E45" s="48">
        <f>IFERROR(-($B$5+SUM($D$13:$D44))*$B45/12,0)</f>
        <v>-168548.39888830547</v>
      </c>
      <c r="F45" s="48">
        <f t="shared" si="0"/>
        <v>-169730.53509148819</v>
      </c>
      <c r="G45" s="48">
        <f>($B$5+SUM($D$13:$D45))</f>
        <v>6973234.3695198009</v>
      </c>
      <c r="K45" s="45">
        <f t="shared" si="1"/>
        <v>3.7999999999999999E-2</v>
      </c>
      <c r="L45" s="46">
        <v>33</v>
      </c>
      <c r="M45" s="5">
        <f t="shared" si="2"/>
        <v>-127929.42436478453</v>
      </c>
      <c r="N45" s="48">
        <f>PPMT($K45/12,1,$C$5-L45+1,$B$5+SUM($N$13:N44),0)</f>
        <v>-21656.311525066809</v>
      </c>
      <c r="O45" s="48">
        <f>-($B$5+SUM($N$13:$N44))*$K45/12</f>
        <v>-20144.799201636844</v>
      </c>
      <c r="P45" s="48">
        <f t="shared" si="3"/>
        <v>-41801.110726703657</v>
      </c>
      <c r="Q45" s="48">
        <f>($B$5+SUM($D$13:$D45))</f>
        <v>6973234.3695198009</v>
      </c>
    </row>
    <row r="46" spans="2:17">
      <c r="B46" s="45">
        <f>'Ипотечный калькулятор'!$C$21</f>
        <v>0.29000000000000004</v>
      </c>
      <c r="C46" s="47">
        <v>34</v>
      </c>
      <c r="D46" s="48">
        <f>PPMT($B46/12,1,$C$5-C46+1,$B$5+SUM($D$13:D45),0)</f>
        <v>-1210.7044947596344</v>
      </c>
      <c r="E46" s="48">
        <f>IFERROR(-($B$5+SUM($D$13:$D45))*$B46/12,0)</f>
        <v>-168519.83059672854</v>
      </c>
      <c r="F46" s="48">
        <f t="shared" si="0"/>
        <v>-169730.53509148819</v>
      </c>
      <c r="G46" s="48">
        <f>($B$5+SUM($D$13:$D46))</f>
        <v>6972023.6650250414</v>
      </c>
      <c r="K46" s="45">
        <f t="shared" si="1"/>
        <v>3.7999999999999999E-2</v>
      </c>
      <c r="L46" s="47">
        <v>34</v>
      </c>
      <c r="M46" s="5">
        <f t="shared" si="2"/>
        <v>-127929.42436478453</v>
      </c>
      <c r="N46" s="48">
        <f>PPMT($K46/12,1,$C$5-L46+1,$B$5+SUM($N$13:N45),0)</f>
        <v>-21724.889844896195</v>
      </c>
      <c r="O46" s="48">
        <f>-($B$5+SUM($N$13:$N45))*$K46/12</f>
        <v>-20076.220881807469</v>
      </c>
      <c r="P46" s="48">
        <f t="shared" si="3"/>
        <v>-41801.110726703664</v>
      </c>
      <c r="Q46" s="48">
        <f>($B$5+SUM($D$13:$D46))</f>
        <v>6972023.6650250414</v>
      </c>
    </row>
    <row r="47" spans="2:17">
      <c r="B47" s="45">
        <f>'Ипотечный калькулятор'!$C$21</f>
        <v>0.29000000000000004</v>
      </c>
      <c r="C47" s="46">
        <v>35</v>
      </c>
      <c r="D47" s="48">
        <f>PPMT($B47/12,1,$C$5-C47+1,$B$5+SUM($D$13:D46),0)</f>
        <v>-1239.9631867163259</v>
      </c>
      <c r="E47" s="48">
        <f>IFERROR(-($B$5+SUM($D$13:$D46))*$B47/12,0)</f>
        <v>-168490.57190477187</v>
      </c>
      <c r="F47" s="48">
        <f t="shared" si="0"/>
        <v>-169730.53509148819</v>
      </c>
      <c r="G47" s="48">
        <f>($B$5+SUM($D$13:$D47))</f>
        <v>6970783.7018383248</v>
      </c>
      <c r="K47" s="45">
        <f t="shared" si="1"/>
        <v>3.7999999999999999E-2</v>
      </c>
      <c r="L47" s="46">
        <v>35</v>
      </c>
      <c r="M47" s="5">
        <f t="shared" si="2"/>
        <v>-127929.42436478453</v>
      </c>
      <c r="N47" s="48">
        <f>PPMT($K47/12,1,$C$5-L47+1,$B$5+SUM($N$13:N46),0)</f>
        <v>-21793.685329405034</v>
      </c>
      <c r="O47" s="48">
        <f>-($B$5+SUM($N$13:$N46))*$K47/12</f>
        <v>-20007.42539729863</v>
      </c>
      <c r="P47" s="48">
        <f t="shared" si="3"/>
        <v>-41801.110726703664</v>
      </c>
      <c r="Q47" s="48">
        <f>($B$5+SUM($D$13:$D47))</f>
        <v>6970783.7018383248</v>
      </c>
    </row>
    <row r="48" spans="2:17">
      <c r="B48" s="45">
        <f>'Ипотечный калькулятор'!$C$21</f>
        <v>0.29000000000000004</v>
      </c>
      <c r="C48" s="47">
        <v>36</v>
      </c>
      <c r="D48" s="48">
        <f>PPMT($B48/12,1,$C$5-C48+1,$B$5+SUM($D$13:D47),0)</f>
        <v>-1269.9289637286377</v>
      </c>
      <c r="E48" s="48">
        <f>IFERROR(-($B$5+SUM($D$13:$D47))*$B48/12,0)</f>
        <v>-168460.60612775953</v>
      </c>
      <c r="F48" s="48">
        <f t="shared" si="0"/>
        <v>-169730.53509148816</v>
      </c>
      <c r="G48" s="48">
        <f>($B$5+SUM($D$13:$D48))</f>
        <v>6969513.7728745965</v>
      </c>
      <c r="K48" s="45">
        <f t="shared" si="1"/>
        <v>3.7999999999999999E-2</v>
      </c>
      <c r="L48" s="47">
        <v>36</v>
      </c>
      <c r="M48" s="5">
        <f t="shared" si="2"/>
        <v>-127929.4243647845</v>
      </c>
      <c r="N48" s="48">
        <f>PPMT($K48/12,1,$C$5-L48+1,$B$5+SUM($N$13:N47),0)</f>
        <v>-21862.698666281478</v>
      </c>
      <c r="O48" s="48">
        <f>-($B$5+SUM($N$13:$N47))*$K48/12</f>
        <v>-19938.412060422179</v>
      </c>
      <c r="P48" s="48">
        <f t="shared" si="3"/>
        <v>-41801.110726703657</v>
      </c>
      <c r="Q48" s="48">
        <f>($B$5+SUM($D$13:$D48))</f>
        <v>6969513.7728745965</v>
      </c>
    </row>
    <row r="49" spans="2:17">
      <c r="B49" s="45">
        <f>'Ипотечный калькулятор'!$C$21</f>
        <v>0.29000000000000004</v>
      </c>
      <c r="C49" s="46">
        <v>37</v>
      </c>
      <c r="D49" s="48">
        <f>PPMT($B49/12,1,$C$5-C49+1,$B$5+SUM($D$13:D48),0)</f>
        <v>-1300.6189136854125</v>
      </c>
      <c r="E49" s="48">
        <f>IFERROR(-($B$5+SUM($D$13:$D48))*$B49/12,0)</f>
        <v>-168429.91617780278</v>
      </c>
      <c r="F49" s="48">
        <f t="shared" si="0"/>
        <v>-169730.53509148819</v>
      </c>
      <c r="G49" s="48">
        <f>($B$5+SUM($D$13:$D49))</f>
        <v>6968213.1539609106</v>
      </c>
      <c r="K49" s="45">
        <f t="shared" si="1"/>
        <v>3.7999999999999999E-2</v>
      </c>
      <c r="L49" s="46">
        <v>37</v>
      </c>
      <c r="M49" s="5">
        <f t="shared" si="2"/>
        <v>-127929.42436478453</v>
      </c>
      <c r="N49" s="48">
        <f>PPMT($K49/12,1,$C$5-L49+1,$B$5+SUM($N$13:N48),0)</f>
        <v>-21931.930545391373</v>
      </c>
      <c r="O49" s="48">
        <f>-($B$5+SUM($N$13:$N48))*$K49/12</f>
        <v>-19869.180181312291</v>
      </c>
      <c r="P49" s="48">
        <f t="shared" si="3"/>
        <v>-41801.110726703664</v>
      </c>
      <c r="Q49" s="48">
        <f>($B$5+SUM($D$13:$D49))</f>
        <v>6968213.1539609106</v>
      </c>
    </row>
    <row r="50" spans="2:17">
      <c r="B50" s="45">
        <f>'Ипотечный калькулятор'!$C$21</f>
        <v>0.29000000000000004</v>
      </c>
      <c r="C50" s="47">
        <v>38</v>
      </c>
      <c r="D50" s="48">
        <f>PPMT($B50/12,1,$C$5-C50+1,$B$5+SUM($D$13:D49),0)</f>
        <v>-1332.0505374328095</v>
      </c>
      <c r="E50" s="48">
        <f>IFERROR(-($B$5+SUM($D$13:$D49))*$B50/12,0)</f>
        <v>-168398.48455405535</v>
      </c>
      <c r="F50" s="48">
        <f t="shared" si="0"/>
        <v>-169730.53509148816</v>
      </c>
      <c r="G50" s="48">
        <f>($B$5+SUM($D$13:$D50))</f>
        <v>6966881.1034234781</v>
      </c>
      <c r="K50" s="45">
        <f t="shared" si="1"/>
        <v>3.7999999999999999E-2</v>
      </c>
      <c r="L50" s="47">
        <v>38</v>
      </c>
      <c r="M50" s="5">
        <f t="shared" si="2"/>
        <v>-127929.4243647845</v>
      </c>
      <c r="N50" s="48">
        <f>PPMT($K50/12,1,$C$5-L50+1,$B$5+SUM($N$13:N49),0)</f>
        <v>-22001.381658785114</v>
      </c>
      <c r="O50" s="48">
        <f>-($B$5+SUM($N$13:$N49))*$K50/12</f>
        <v>-19799.72906791855</v>
      </c>
      <c r="P50" s="48">
        <f t="shared" si="3"/>
        <v>-41801.110726703664</v>
      </c>
      <c r="Q50" s="48">
        <f>($B$5+SUM($D$13:$D50))</f>
        <v>6966881.1034234781</v>
      </c>
    </row>
    <row r="51" spans="2:17">
      <c r="B51" s="45">
        <f>'Ипотечный калькулятор'!$C$21</f>
        <v>0.29000000000000004</v>
      </c>
      <c r="C51" s="46">
        <v>39</v>
      </c>
      <c r="D51" s="48">
        <f>PPMT($B51/12,1,$C$5-C51+1,$B$5+SUM($D$13:D50),0)</f>
        <v>-1364.2417587541031</v>
      </c>
      <c r="E51" s="48">
        <f>IFERROR(-($B$5+SUM($D$13:$D50))*$B51/12,0)</f>
        <v>-168366.29333273406</v>
      </c>
      <c r="F51" s="48">
        <f t="shared" si="0"/>
        <v>-169730.53509148816</v>
      </c>
      <c r="G51" s="48">
        <f>($B$5+SUM($D$13:$D51))</f>
        <v>6965516.8616647236</v>
      </c>
      <c r="K51" s="45">
        <f t="shared" si="1"/>
        <v>3.7999999999999999E-2</v>
      </c>
      <c r="L51" s="46">
        <v>39</v>
      </c>
      <c r="M51" s="5">
        <f t="shared" si="2"/>
        <v>-127929.4243647845</v>
      </c>
      <c r="N51" s="48">
        <f>PPMT($K51/12,1,$C$5-L51+1,$B$5+SUM($N$13:N50),0)</f>
        <v>-22071.0527007046</v>
      </c>
      <c r="O51" s="48">
        <f>-($B$5+SUM($N$13:$N50))*$K51/12</f>
        <v>-19730.058025999064</v>
      </c>
      <c r="P51" s="48">
        <f t="shared" si="3"/>
        <v>-41801.110726703664</v>
      </c>
      <c r="Q51" s="48">
        <f>($B$5+SUM($D$13:$D51))</f>
        <v>6965516.8616647236</v>
      </c>
    </row>
    <row r="52" spans="2:17">
      <c r="B52" s="45">
        <f>'Ипотечный калькулятор'!$C$21</f>
        <v>0.29000000000000004</v>
      </c>
      <c r="C52" s="47">
        <v>40</v>
      </c>
      <c r="D52" s="48">
        <f>PPMT($B52/12,1,$C$5-C52+1,$B$5+SUM($D$13:D51),0)</f>
        <v>-1397.2109345906611</v>
      </c>
      <c r="E52" s="48">
        <f>IFERROR(-($B$5+SUM($D$13:$D51))*$B52/12,0)</f>
        <v>-168333.32415689752</v>
      </c>
      <c r="F52" s="48">
        <f t="shared" si="0"/>
        <v>-169730.53509148819</v>
      </c>
      <c r="G52" s="48">
        <f>($B$5+SUM($D$13:$D52))</f>
        <v>6964119.6507301331</v>
      </c>
      <c r="K52" s="45">
        <f t="shared" si="1"/>
        <v>3.7999999999999999E-2</v>
      </c>
      <c r="L52" s="47">
        <v>40</v>
      </c>
      <c r="M52" s="5">
        <f t="shared" si="2"/>
        <v>-127929.42436478453</v>
      </c>
      <c r="N52" s="48">
        <f>PPMT($K52/12,1,$C$5-L52+1,$B$5+SUM($N$13:N51),0)</f>
        <v>-22140.944367590164</v>
      </c>
      <c r="O52" s="48">
        <f>-($B$5+SUM($N$13:$N51))*$K52/12</f>
        <v>-19660.166359113497</v>
      </c>
      <c r="P52" s="48">
        <f t="shared" si="3"/>
        <v>-41801.110726703657</v>
      </c>
      <c r="Q52" s="48">
        <f>($B$5+SUM($D$13:$D52))</f>
        <v>6964119.6507301331</v>
      </c>
    </row>
    <row r="53" spans="2:17">
      <c r="B53" s="45">
        <f>'Ипотечный калькулятор'!$C$21</f>
        <v>0.29000000000000004</v>
      </c>
      <c r="C53" s="46">
        <v>41</v>
      </c>
      <c r="D53" s="48">
        <f>PPMT($B53/12,1,$C$5-C53+1,$B$5+SUM($D$13:D52),0)</f>
        <v>-1430.9768655099347</v>
      </c>
      <c r="E53" s="48">
        <f>IFERROR(-($B$5+SUM($D$13:$D52))*$B53/12,0)</f>
        <v>-168299.55822597825</v>
      </c>
      <c r="F53" s="48">
        <f t="shared" si="0"/>
        <v>-169730.53509148819</v>
      </c>
      <c r="G53" s="48">
        <f>($B$5+SUM($D$13:$D53))</f>
        <v>6962688.6738646235</v>
      </c>
      <c r="K53" s="45">
        <f t="shared" si="1"/>
        <v>3.7999999999999999E-2</v>
      </c>
      <c r="L53" s="46">
        <v>41</v>
      </c>
      <c r="M53" s="5">
        <f t="shared" si="2"/>
        <v>-127929.42436478451</v>
      </c>
      <c r="N53" s="48">
        <f>PPMT($K53/12,1,$C$5-L53+1,$B$5+SUM($N$13:N52),0)</f>
        <v>-22211.057358087539</v>
      </c>
      <c r="O53" s="48">
        <f>-($B$5+SUM($N$13:$N52))*$K53/12</f>
        <v>-19590.053368616133</v>
      </c>
      <c r="P53" s="48">
        <f t="shared" si="3"/>
        <v>-41801.110726703671</v>
      </c>
      <c r="Q53" s="48">
        <f>($B$5+SUM($D$13:$D53))</f>
        <v>6962688.6738646235</v>
      </c>
    </row>
    <row r="54" spans="2:17">
      <c r="B54" s="45">
        <f>'Ипотечный калькулятор'!$C$21</f>
        <v>0.29000000000000004</v>
      </c>
      <c r="C54" s="47">
        <v>42</v>
      </c>
      <c r="D54" s="48">
        <f>PPMT($B54/12,1,$C$5-C54+1,$B$5+SUM($D$13:D53),0)</f>
        <v>-1465.5588064264241</v>
      </c>
      <c r="E54" s="48">
        <f>IFERROR(-($B$5+SUM($D$13:$D53))*$B54/12,0)</f>
        <v>-168264.97628506177</v>
      </c>
      <c r="F54" s="48">
        <f t="shared" si="0"/>
        <v>-169730.53509148819</v>
      </c>
      <c r="G54" s="48">
        <f>($B$5+SUM($D$13:$D54))</f>
        <v>6961223.1150581967</v>
      </c>
      <c r="K54" s="45">
        <f t="shared" si="1"/>
        <v>3.7999999999999999E-2</v>
      </c>
      <c r="L54" s="47">
        <v>42</v>
      </c>
      <c r="M54" s="5">
        <f t="shared" si="2"/>
        <v>-127929.42436478453</v>
      </c>
      <c r="N54" s="48">
        <f>PPMT($K54/12,1,$C$5-L54+1,$B$5+SUM($N$13:N53),0)</f>
        <v>-22281.392373054809</v>
      </c>
      <c r="O54" s="48">
        <f>-($B$5+SUM($N$13:$N53))*$K54/12</f>
        <v>-19519.718353648852</v>
      </c>
      <c r="P54" s="48">
        <f t="shared" si="3"/>
        <v>-41801.110726703657</v>
      </c>
      <c r="Q54" s="48">
        <f>($B$5+SUM($D$13:$D54))</f>
        <v>6961223.1150581967</v>
      </c>
    </row>
    <row r="55" spans="2:17">
      <c r="B55" s="45">
        <f>'Ипотечный калькулятор'!$C$21</f>
        <v>0.29000000000000004</v>
      </c>
      <c r="C55" s="46">
        <v>43</v>
      </c>
      <c r="D55" s="48">
        <f>PPMT($B55/12,1,$C$5-C55+1,$B$5+SUM($D$13:D54),0)</f>
        <v>-1500.97647758173</v>
      </c>
      <c r="E55" s="48">
        <f>IFERROR(-($B$5+SUM($D$13:$D54))*$B55/12,0)</f>
        <v>-168229.55861390644</v>
      </c>
      <c r="F55" s="48">
        <f t="shared" si="0"/>
        <v>-169730.53509148816</v>
      </c>
      <c r="G55" s="48">
        <f>($B$5+SUM($D$13:$D55))</f>
        <v>6959722.1385806147</v>
      </c>
      <c r="K55" s="45">
        <f t="shared" si="1"/>
        <v>3.7999999999999999E-2</v>
      </c>
      <c r="L55" s="46">
        <v>43</v>
      </c>
      <c r="M55" s="5">
        <f t="shared" si="2"/>
        <v>-127929.4243647845</v>
      </c>
      <c r="N55" s="48">
        <f>PPMT($K55/12,1,$C$5-L55+1,$B$5+SUM($N$13:N54),0)</f>
        <v>-22351.950115569485</v>
      </c>
      <c r="O55" s="48">
        <f>-($B$5+SUM($N$13:$N54))*$K55/12</f>
        <v>-19449.160611134179</v>
      </c>
      <c r="P55" s="48">
        <f t="shared" si="3"/>
        <v>-41801.110726703664</v>
      </c>
      <c r="Q55" s="48">
        <f>($B$5+SUM($D$13:$D55))</f>
        <v>6959722.1385806147</v>
      </c>
    </row>
    <row r="56" spans="2:17">
      <c r="B56" s="45">
        <f>'Ипотечный калькулятор'!$C$21</f>
        <v>0.29000000000000004</v>
      </c>
      <c r="C56" s="47">
        <v>44</v>
      </c>
      <c r="D56" s="48">
        <f>PPMT($B56/12,1,$C$5-C56+1,$B$5+SUM($D$13:D55),0)</f>
        <v>-1537.2500757899556</v>
      </c>
      <c r="E56" s="48">
        <f>IFERROR(-($B$5+SUM($D$13:$D55))*$B56/12,0)</f>
        <v>-168193.2850156982</v>
      </c>
      <c r="F56" s="48">
        <f t="shared" si="0"/>
        <v>-169730.53509148816</v>
      </c>
      <c r="G56" s="48">
        <f>($B$5+SUM($D$13:$D56))</f>
        <v>6958184.8885048246</v>
      </c>
      <c r="K56" s="45">
        <f t="shared" si="1"/>
        <v>3.7999999999999999E-2</v>
      </c>
      <c r="L56" s="47">
        <v>44</v>
      </c>
      <c r="M56" s="5">
        <f t="shared" si="2"/>
        <v>-127929.4243647845</v>
      </c>
      <c r="N56" s="48">
        <f>PPMT($K56/12,1,$C$5-L56+1,$B$5+SUM($N$13:N55),0)</f>
        <v>-22422.731290935455</v>
      </c>
      <c r="O56" s="48">
        <f>-($B$5+SUM($N$13:$N55))*$K56/12</f>
        <v>-19378.379435768209</v>
      </c>
      <c r="P56" s="48">
        <f t="shared" si="3"/>
        <v>-41801.110726703664</v>
      </c>
      <c r="Q56" s="48">
        <f>($B$5+SUM($D$13:$D56))</f>
        <v>6958184.8885048246</v>
      </c>
    </row>
    <row r="57" spans="2:17">
      <c r="B57" s="45">
        <f>'Ипотечный калькулятор'!$C$21</f>
        <v>0.29000000000000004</v>
      </c>
      <c r="C57" s="46">
        <v>45</v>
      </c>
      <c r="D57" s="48">
        <f>PPMT($B57/12,1,$C$5-C57+1,$B$5+SUM($D$13:D56),0)</f>
        <v>-1574.4002859548789</v>
      </c>
      <c r="E57" s="48">
        <f>IFERROR(-($B$5+SUM($D$13:$D56))*$B57/12,0)</f>
        <v>-168156.13480553328</v>
      </c>
      <c r="F57" s="48">
        <f t="shared" si="0"/>
        <v>-169730.53509148816</v>
      </c>
      <c r="G57" s="48">
        <f>($B$5+SUM($D$13:$D57))</f>
        <v>6956610.48821887</v>
      </c>
      <c r="K57" s="45">
        <f t="shared" si="1"/>
        <v>3.7999999999999999E-2</v>
      </c>
      <c r="L57" s="46">
        <v>45</v>
      </c>
      <c r="M57" s="5">
        <f t="shared" si="2"/>
        <v>-127929.4243647845</v>
      </c>
      <c r="N57" s="48">
        <f>PPMT($K57/12,1,$C$5-L57+1,$B$5+SUM($N$13:N56),0)</f>
        <v>-22493.736606690083</v>
      </c>
      <c r="O57" s="48">
        <f>-($B$5+SUM($N$13:$N56))*$K57/12</f>
        <v>-19307.374120013581</v>
      </c>
      <c r="P57" s="48">
        <f t="shared" si="3"/>
        <v>-41801.110726703664</v>
      </c>
      <c r="Q57" s="48">
        <f>($B$5+SUM($D$13:$D57))</f>
        <v>6956610.48821887</v>
      </c>
    </row>
    <row r="58" spans="2:17">
      <c r="B58" s="45">
        <f>'Ипотечный калькулятор'!$C$21</f>
        <v>0.29000000000000004</v>
      </c>
      <c r="C58" s="47">
        <v>46</v>
      </c>
      <c r="D58" s="48">
        <f>PPMT($B58/12,1,$C$5-C58+1,$B$5+SUM($D$13:D57),0)</f>
        <v>-1612.4482928654547</v>
      </c>
      <c r="E58" s="48">
        <f>IFERROR(-($B$5+SUM($D$13:$D57))*$B58/12,0)</f>
        <v>-168118.08679862271</v>
      </c>
      <c r="F58" s="48">
        <f t="shared" si="0"/>
        <v>-169730.53509148816</v>
      </c>
      <c r="G58" s="48">
        <f>($B$5+SUM($D$13:$D58))</f>
        <v>6954998.0399260046</v>
      </c>
      <c r="K58" s="45">
        <f t="shared" si="1"/>
        <v>3.7999999999999999E-2</v>
      </c>
      <c r="L58" s="47">
        <v>46</v>
      </c>
      <c r="M58" s="5">
        <f t="shared" si="2"/>
        <v>-127929.4243647845</v>
      </c>
      <c r="N58" s="48">
        <f>PPMT($K58/12,1,$C$5-L58+1,$B$5+SUM($N$13:N57),0)</f>
        <v>-22564.966772611264</v>
      </c>
      <c r="O58" s="48">
        <f>-($B$5+SUM($N$13:$N57))*$K58/12</f>
        <v>-19236.143954092393</v>
      </c>
      <c r="P58" s="48">
        <f t="shared" si="3"/>
        <v>-41801.110726703657</v>
      </c>
      <c r="Q58" s="48">
        <f>($B$5+SUM($D$13:$D58))</f>
        <v>6954998.0399260046</v>
      </c>
    </row>
    <row r="59" spans="2:17">
      <c r="B59" s="45">
        <f>'Ипотечный калькулятор'!$C$21</f>
        <v>0.29000000000000004</v>
      </c>
      <c r="C59" s="46">
        <v>47</v>
      </c>
      <c r="D59" s="48">
        <f>PPMT($B59/12,1,$C$5-C59+1,$B$5+SUM($D$13:D58),0)</f>
        <v>-1651.4157932763708</v>
      </c>
      <c r="E59" s="48">
        <f>IFERROR(-($B$5+SUM($D$13:$D58))*$B59/12,0)</f>
        <v>-168079.11929821179</v>
      </c>
      <c r="F59" s="48">
        <f t="shared" si="0"/>
        <v>-169730.53509148816</v>
      </c>
      <c r="G59" s="48">
        <f>($B$5+SUM($D$13:$D59))</f>
        <v>6953346.6241327282</v>
      </c>
      <c r="K59" s="45">
        <f t="shared" si="1"/>
        <v>3.7999999999999999E-2</v>
      </c>
      <c r="L59" s="46">
        <v>47</v>
      </c>
      <c r="M59" s="5">
        <f t="shared" si="2"/>
        <v>-127929.42436478449</v>
      </c>
      <c r="N59" s="48">
        <f>PPMT($K59/12,1,$C$5-L59+1,$B$5+SUM($N$13:N58),0)</f>
        <v>-22636.422500724544</v>
      </c>
      <c r="O59" s="48">
        <f>-($B$5+SUM($N$13:$N58))*$K59/12</f>
        <v>-19164.688225979127</v>
      </c>
      <c r="P59" s="48">
        <f t="shared" si="3"/>
        <v>-41801.110726703671</v>
      </c>
      <c r="Q59" s="48">
        <f>($B$5+SUM($D$13:$D59))</f>
        <v>6953346.6241327282</v>
      </c>
    </row>
    <row r="60" spans="2:17">
      <c r="B60" s="45">
        <f>'Ипотечный калькулятор'!$C$21</f>
        <v>0.29000000000000004</v>
      </c>
      <c r="C60" s="47">
        <v>48</v>
      </c>
      <c r="D60" s="48">
        <f>PPMT($B60/12,1,$C$5-C60+1,$B$5+SUM($D$13:D59),0)</f>
        <v>-1691.32500828055</v>
      </c>
      <c r="E60" s="48">
        <f>IFERROR(-($B$5+SUM($D$13:$D59))*$B60/12,0)</f>
        <v>-168039.21008320761</v>
      </c>
      <c r="F60" s="48">
        <f t="shared" si="0"/>
        <v>-169730.53509148816</v>
      </c>
      <c r="G60" s="48">
        <f>($B$5+SUM($D$13:$D60))</f>
        <v>6951655.2991244476</v>
      </c>
      <c r="K60" s="45">
        <f t="shared" si="1"/>
        <v>3.7999999999999999E-2</v>
      </c>
      <c r="L60" s="47">
        <v>48</v>
      </c>
      <c r="M60" s="5">
        <f t="shared" si="2"/>
        <v>-127929.4243647845</v>
      </c>
      <c r="N60" s="48">
        <f>PPMT($K60/12,1,$C$5-L60+1,$B$5+SUM($N$13:N59),0)</f>
        <v>-22708.104505310162</v>
      </c>
      <c r="O60" s="48">
        <f>-($B$5+SUM($N$13:$N59))*$K60/12</f>
        <v>-19093.006221393498</v>
      </c>
      <c r="P60" s="48">
        <f t="shared" si="3"/>
        <v>-41801.110726703657</v>
      </c>
      <c r="Q60" s="48">
        <f>($B$5+SUM($D$13:$D60))</f>
        <v>6951655.2991244476</v>
      </c>
    </row>
    <row r="61" spans="2:17">
      <c r="B61" s="45">
        <f>'Ипотечный калькулятор'!$C$21</f>
        <v>0.29000000000000004</v>
      </c>
      <c r="C61" s="46">
        <v>49</v>
      </c>
      <c r="D61" s="48">
        <f>PPMT($B61/12,1,$C$5-C61+1,$B$5+SUM($D$13:D60),0)</f>
        <v>-1732.1986959806627</v>
      </c>
      <c r="E61" s="48">
        <f>IFERROR(-($B$5+SUM($D$13:$D60))*$B61/12,0)</f>
        <v>-167998.3363955075</v>
      </c>
      <c r="F61" s="48">
        <f t="shared" si="0"/>
        <v>-169730.53509148816</v>
      </c>
      <c r="G61" s="48">
        <f>($B$5+SUM($D$13:$D61))</f>
        <v>6949923.1004284667</v>
      </c>
      <c r="K61" s="45">
        <f t="shared" si="1"/>
        <v>3.7999999999999999E-2</v>
      </c>
      <c r="L61" s="46">
        <v>49</v>
      </c>
      <c r="M61" s="5">
        <f t="shared" si="2"/>
        <v>-127929.4243647845</v>
      </c>
      <c r="N61" s="48">
        <f>PPMT($K61/12,1,$C$5-L61+1,$B$5+SUM($N$13:N60),0)</f>
        <v>-22780.013502910308</v>
      </c>
      <c r="O61" s="48">
        <f>-($B$5+SUM($N$13:$N60))*$K61/12</f>
        <v>-19021.097223793349</v>
      </c>
      <c r="P61" s="48">
        <f t="shared" si="3"/>
        <v>-41801.110726703657</v>
      </c>
      <c r="Q61" s="48">
        <f>($B$5+SUM($D$13:$D61))</f>
        <v>6949923.1004284667</v>
      </c>
    </row>
    <row r="62" spans="2:17">
      <c r="B62" s="45">
        <f>'Ипотечный калькулятор'!$C$21</f>
        <v>0.29000000000000004</v>
      </c>
      <c r="C62" s="47">
        <v>50</v>
      </c>
      <c r="D62" s="48">
        <f>PPMT($B62/12,1,$C$5-C62+1,$B$5+SUM($D$13:D61),0)</f>
        <v>-1774.0601644668611</v>
      </c>
      <c r="E62" s="48">
        <f>IFERROR(-($B$5+SUM($D$13:$D61))*$B62/12,0)</f>
        <v>-167956.47492702131</v>
      </c>
      <c r="F62" s="48">
        <f t="shared" si="0"/>
        <v>-169730.53509148816</v>
      </c>
      <c r="G62" s="48">
        <f>($B$5+SUM($D$13:$D62))</f>
        <v>6948149.0402640002</v>
      </c>
      <c r="K62" s="45">
        <f t="shared" si="1"/>
        <v>3.7999999999999999E-2</v>
      </c>
      <c r="L62" s="47">
        <v>50</v>
      </c>
      <c r="M62" s="5">
        <f t="shared" si="2"/>
        <v>-127929.42436478449</v>
      </c>
      <c r="N62" s="48">
        <f>PPMT($K62/12,1,$C$5-L62+1,$B$5+SUM($N$13:N61),0)</f>
        <v>-22852.150212336204</v>
      </c>
      <c r="O62" s="48">
        <f>-($B$5+SUM($N$13:$N61))*$K62/12</f>
        <v>-18948.960514367467</v>
      </c>
      <c r="P62" s="48">
        <f t="shared" si="3"/>
        <v>-41801.110726703671</v>
      </c>
      <c r="Q62" s="48">
        <f>($B$5+SUM($D$13:$D62))</f>
        <v>6948149.0402640002</v>
      </c>
    </row>
    <row r="63" spans="2:17">
      <c r="B63" s="45">
        <f>'Ипотечный калькулятор'!$C$21</f>
        <v>0.29000000000000004</v>
      </c>
      <c r="C63" s="46">
        <v>51</v>
      </c>
      <c r="D63" s="48">
        <f>PPMT($B63/12,1,$C$5-C63+1,$B$5+SUM($D$13:D62),0)</f>
        <v>-1816.9332851081447</v>
      </c>
      <c r="E63" s="48">
        <f>IFERROR(-($B$5+SUM($D$13:$D62))*$B63/12,0)</f>
        <v>-167913.60180638003</v>
      </c>
      <c r="F63" s="48">
        <f t="shared" si="0"/>
        <v>-169730.53509148819</v>
      </c>
      <c r="G63" s="48">
        <f>($B$5+SUM($D$13:$D63))</f>
        <v>6946332.1069788923</v>
      </c>
      <c r="K63" s="45">
        <f t="shared" si="1"/>
        <v>3.7999999999999999E-2</v>
      </c>
      <c r="L63" s="46">
        <v>51</v>
      </c>
      <c r="M63" s="5">
        <f t="shared" si="2"/>
        <v>-127929.42436478451</v>
      </c>
      <c r="N63" s="48">
        <f>PPMT($K63/12,1,$C$5-L63+1,$B$5+SUM($N$13:N62),0)</f>
        <v>-22924.515354675266</v>
      </c>
      <c r="O63" s="48">
        <f>-($B$5+SUM($N$13:$N62))*$K63/12</f>
        <v>-18876.595372028405</v>
      </c>
      <c r="P63" s="48">
        <f t="shared" si="3"/>
        <v>-41801.110726703671</v>
      </c>
      <c r="Q63" s="48">
        <f>($B$5+SUM($D$13:$D63))</f>
        <v>6946332.1069788923</v>
      </c>
    </row>
    <row r="64" spans="2:17">
      <c r="B64" s="45">
        <f>'Ипотечный калькулятор'!$C$21</f>
        <v>0.29000000000000004</v>
      </c>
      <c r="C64" s="47">
        <v>52</v>
      </c>
      <c r="D64" s="48">
        <f>PPMT($B64/12,1,$C$5-C64+1,$B$5+SUM($D$13:D63),0)</f>
        <v>-1860.8425061649259</v>
      </c>
      <c r="E64" s="48">
        <f>IFERROR(-($B$5+SUM($D$13:$D63))*$B64/12,0)</f>
        <v>-167869.69258532327</v>
      </c>
      <c r="F64" s="48">
        <f t="shared" si="0"/>
        <v>-169730.53509148819</v>
      </c>
      <c r="G64" s="48">
        <f>($B$5+SUM($D$13:$D64))</f>
        <v>6944471.2644727267</v>
      </c>
      <c r="K64" s="45">
        <f t="shared" si="1"/>
        <v>3.7999999999999999E-2</v>
      </c>
      <c r="L64" s="47">
        <v>52</v>
      </c>
      <c r="M64" s="5">
        <f t="shared" si="2"/>
        <v>-127929.42436478453</v>
      </c>
      <c r="N64" s="48">
        <f>PPMT($K64/12,1,$C$5-L64+1,$B$5+SUM($N$13:N63),0)</f>
        <v>-22997.109653298394</v>
      </c>
      <c r="O64" s="48">
        <f>-($B$5+SUM($N$13:$N63))*$K64/12</f>
        <v>-18804.001073405267</v>
      </c>
      <c r="P64" s="48">
        <f t="shared" si="3"/>
        <v>-41801.110726703657</v>
      </c>
      <c r="Q64" s="48">
        <f>($B$5+SUM($D$13:$D64))</f>
        <v>6944471.2644727267</v>
      </c>
    </row>
    <row r="65" spans="2:17">
      <c r="B65" s="45">
        <f>'Ипотечный калькулятор'!$C$21</f>
        <v>0.29000000000000004</v>
      </c>
      <c r="C65" s="46">
        <v>53</v>
      </c>
      <c r="D65" s="48">
        <f>PPMT($B65/12,1,$C$5-C65+1,$B$5+SUM($D$13:D64),0)</f>
        <v>-1905.8128667305766</v>
      </c>
      <c r="E65" s="48">
        <f>IFERROR(-($B$5+SUM($D$13:$D64))*$B65/12,0)</f>
        <v>-167824.72222475757</v>
      </c>
      <c r="F65" s="48">
        <f t="shared" si="0"/>
        <v>-169730.53509148816</v>
      </c>
      <c r="G65" s="48">
        <f>($B$5+SUM($D$13:$D65))</f>
        <v>6942565.451605997</v>
      </c>
      <c r="K65" s="45">
        <f t="shared" si="1"/>
        <v>3.7999999999999999E-2</v>
      </c>
      <c r="L65" s="46">
        <v>53</v>
      </c>
      <c r="M65" s="5">
        <f t="shared" si="2"/>
        <v>-127929.4243647845</v>
      </c>
      <c r="N65" s="48">
        <f>PPMT($K65/12,1,$C$5-L65+1,$B$5+SUM($N$13:N64),0)</f>
        <v>-23069.933833867173</v>
      </c>
      <c r="O65" s="48">
        <f>-($B$5+SUM($N$13:$N64))*$K65/12</f>
        <v>-18731.176892836487</v>
      </c>
      <c r="P65" s="48">
        <f t="shared" si="3"/>
        <v>-41801.110726703657</v>
      </c>
      <c r="Q65" s="48">
        <f>($B$5+SUM($D$13:$D65))</f>
        <v>6942565.451605997</v>
      </c>
    </row>
    <row r="66" spans="2:17">
      <c r="B66" s="45">
        <f>'Ипотечный калькулятор'!$C$21</f>
        <v>0.29000000000000004</v>
      </c>
      <c r="C66" s="47">
        <v>54</v>
      </c>
      <c r="D66" s="48">
        <f>PPMT($B66/12,1,$C$5-C66+1,$B$5+SUM($D$13:D65),0)</f>
        <v>-1951.8700110098987</v>
      </c>
      <c r="E66" s="48">
        <f>IFERROR(-($B$5+SUM($D$13:$D65))*$B66/12,0)</f>
        <v>-167778.66508047827</v>
      </c>
      <c r="F66" s="48">
        <f t="shared" si="0"/>
        <v>-169730.53509148816</v>
      </c>
      <c r="G66" s="48">
        <f>($B$5+SUM($D$13:$D66))</f>
        <v>6940613.5815949868</v>
      </c>
      <c r="K66" s="45">
        <f t="shared" si="1"/>
        <v>3.7999999999999999E-2</v>
      </c>
      <c r="L66" s="47">
        <v>54</v>
      </c>
      <c r="M66" s="5">
        <f t="shared" si="2"/>
        <v>-127929.4243647845</v>
      </c>
      <c r="N66" s="48">
        <f>PPMT($K66/12,1,$C$5-L66+1,$B$5+SUM($N$13:N65),0)</f>
        <v>-23142.988624341091</v>
      </c>
      <c r="O66" s="48">
        <f>-($B$5+SUM($N$13:$N65))*$K66/12</f>
        <v>-18658.122102362573</v>
      </c>
      <c r="P66" s="48">
        <f t="shared" si="3"/>
        <v>-41801.110726703664</v>
      </c>
      <c r="Q66" s="48">
        <f>($B$5+SUM($D$13:$D66))</f>
        <v>6940613.5815949868</v>
      </c>
    </row>
    <row r="67" spans="2:17">
      <c r="B67" s="45">
        <f>'Ипотечный калькулятор'!$C$21</f>
        <v>0.29000000000000004</v>
      </c>
      <c r="C67" s="46">
        <v>55</v>
      </c>
      <c r="D67" s="48">
        <f>PPMT($B67/12,1,$C$5-C67+1,$B$5+SUM($D$13:D66),0)</f>
        <v>-1999.0402029426386</v>
      </c>
      <c r="E67" s="48">
        <f>IFERROR(-($B$5+SUM($D$13:$D66))*$B67/12,0)</f>
        <v>-167731.49488854554</v>
      </c>
      <c r="F67" s="48">
        <f t="shared" si="0"/>
        <v>-169730.53509148819</v>
      </c>
      <c r="G67" s="48">
        <f>($B$5+SUM($D$13:$D67))</f>
        <v>6938614.5413920442</v>
      </c>
      <c r="K67" s="45">
        <f t="shared" si="1"/>
        <v>3.7999999999999999E-2</v>
      </c>
      <c r="L67" s="46">
        <v>55</v>
      </c>
      <c r="M67" s="5">
        <f t="shared" si="2"/>
        <v>-127929.42436478453</v>
      </c>
      <c r="N67" s="48">
        <f>PPMT($K67/12,1,$C$5-L67+1,$B$5+SUM($N$13:N66),0)</f>
        <v>-23216.274754984835</v>
      </c>
      <c r="O67" s="48">
        <f>-($B$5+SUM($N$13:$N66))*$K67/12</f>
        <v>-18584.835971718825</v>
      </c>
      <c r="P67" s="48">
        <f t="shared" si="3"/>
        <v>-41801.110726703657</v>
      </c>
      <c r="Q67" s="48">
        <f>($B$5+SUM($D$13:$D67))</f>
        <v>6938614.5413920442</v>
      </c>
    </row>
    <row r="68" spans="2:17">
      <c r="B68" s="45">
        <f>'Ипотечный калькулятор'!$C$21</f>
        <v>0.29000000000000004</v>
      </c>
      <c r="C68" s="47">
        <v>56</v>
      </c>
      <c r="D68" s="48">
        <f>PPMT($B68/12,1,$C$5-C68+1,$B$5+SUM($D$13:D67),0)</f>
        <v>-2047.3503411804202</v>
      </c>
      <c r="E68" s="48">
        <f>IFERROR(-($B$5+SUM($D$13:$D67))*$B68/12,0)</f>
        <v>-167683.18475030776</v>
      </c>
      <c r="F68" s="48">
        <f t="shared" si="0"/>
        <v>-169730.53509148819</v>
      </c>
      <c r="G68" s="48">
        <f>($B$5+SUM($D$13:$D68))</f>
        <v>6936567.1910508638</v>
      </c>
      <c r="K68" s="45">
        <f t="shared" si="1"/>
        <v>3.7999999999999999E-2</v>
      </c>
      <c r="L68" s="47">
        <v>56</v>
      </c>
      <c r="M68" s="5">
        <f t="shared" si="2"/>
        <v>-127929.42436478453</v>
      </c>
      <c r="N68" s="48">
        <f>PPMT($K68/12,1,$C$5-L68+1,$B$5+SUM($N$13:N67),0)</f>
        <v>-23289.792958375623</v>
      </c>
      <c r="O68" s="48">
        <f>-($B$5+SUM($N$13:$N67))*$K68/12</f>
        <v>-18511.317768328041</v>
      </c>
      <c r="P68" s="48">
        <f t="shared" si="3"/>
        <v>-41801.110726703664</v>
      </c>
      <c r="Q68" s="48">
        <f>($B$5+SUM($D$13:$D68))</f>
        <v>6936567.1910508638</v>
      </c>
    </row>
    <row r="69" spans="2:17">
      <c r="B69" s="45">
        <f>'Ипотечный калькулятор'!$C$21</f>
        <v>0.29000000000000004</v>
      </c>
      <c r="C69" s="46">
        <v>57</v>
      </c>
      <c r="D69" s="48">
        <f>PPMT($B69/12,1,$C$5-C69+1,$B$5+SUM($D$13:D68),0)</f>
        <v>-2096.8279744256129</v>
      </c>
      <c r="E69" s="48">
        <f>IFERROR(-($B$5+SUM($D$13:$D68))*$B69/12,0)</f>
        <v>-167633.70711706256</v>
      </c>
      <c r="F69" s="48">
        <f t="shared" si="0"/>
        <v>-169730.53509148816</v>
      </c>
      <c r="G69" s="48">
        <f>($B$5+SUM($D$13:$D69))</f>
        <v>6934470.3630764382</v>
      </c>
      <c r="K69" s="45">
        <f t="shared" si="1"/>
        <v>3.7999999999999999E-2</v>
      </c>
      <c r="L69" s="46">
        <v>57</v>
      </c>
      <c r="M69" s="5">
        <f t="shared" si="2"/>
        <v>-127929.42436478449</v>
      </c>
      <c r="N69" s="48">
        <f>PPMT($K69/12,1,$C$5-L69+1,$B$5+SUM($N$13:N68),0)</f>
        <v>-23363.543969410483</v>
      </c>
      <c r="O69" s="48">
        <f>-($B$5+SUM($N$13:$N68))*$K69/12</f>
        <v>-18437.566757293185</v>
      </c>
      <c r="P69" s="48">
        <f t="shared" si="3"/>
        <v>-41801.110726703671</v>
      </c>
      <c r="Q69" s="48">
        <f>($B$5+SUM($D$13:$D69))</f>
        <v>6934470.3630764382</v>
      </c>
    </row>
    <row r="70" spans="2:17">
      <c r="B70" s="45">
        <f>'Ипотечный калькулятор'!$C$21</f>
        <v>0.29000000000000004</v>
      </c>
      <c r="C70" s="47">
        <v>58</v>
      </c>
      <c r="D70" s="48">
        <f>PPMT($B70/12,1,$C$5-C70+1,$B$5+SUM($D$13:D69),0)</f>
        <v>-2147.5013171408973</v>
      </c>
      <c r="E70" s="48">
        <f>IFERROR(-($B$5+SUM($D$13:$D69))*$B70/12,0)</f>
        <v>-167583.03377434728</v>
      </c>
      <c r="F70" s="48">
        <f t="shared" si="0"/>
        <v>-169730.53509148819</v>
      </c>
      <c r="G70" s="48">
        <f>($B$5+SUM($D$13:$D70))</f>
        <v>6932322.8617592975</v>
      </c>
      <c r="K70" s="45">
        <f t="shared" si="1"/>
        <v>3.7999999999999999E-2</v>
      </c>
      <c r="L70" s="47">
        <v>58</v>
      </c>
      <c r="M70" s="5">
        <f t="shared" si="2"/>
        <v>-127929.42436478453</v>
      </c>
      <c r="N70" s="48">
        <f>PPMT($K70/12,1,$C$5-L70+1,$B$5+SUM($N$13:N69),0)</f>
        <v>-23437.52852531361</v>
      </c>
      <c r="O70" s="48">
        <f>-($B$5+SUM($N$13:$N69))*$K70/12</f>
        <v>-18363.582201390051</v>
      </c>
      <c r="P70" s="48">
        <f t="shared" si="3"/>
        <v>-41801.110726703657</v>
      </c>
      <c r="Q70" s="48">
        <f>($B$5+SUM($D$13:$D70))</f>
        <v>6932322.8617592975</v>
      </c>
    </row>
    <row r="71" spans="2:17">
      <c r="B71" s="45">
        <f>'Ипотечный калькулятор'!$C$21</f>
        <v>0.29000000000000004</v>
      </c>
      <c r="C71" s="46">
        <v>59</v>
      </c>
      <c r="D71" s="48">
        <f>PPMT($B71/12,1,$C$5-C71+1,$B$5+SUM($D$13:D70),0)</f>
        <v>-2199.3992656384698</v>
      </c>
      <c r="E71" s="48">
        <f>IFERROR(-($B$5+SUM($D$13:$D70))*$B71/12,0)</f>
        <v>-167531.13582584972</v>
      </c>
      <c r="F71" s="48">
        <f t="shared" si="0"/>
        <v>-169730.53509148819</v>
      </c>
      <c r="G71" s="48">
        <f>($B$5+SUM($D$13:$D71))</f>
        <v>6930123.462493659</v>
      </c>
      <c r="K71" s="45">
        <f t="shared" si="1"/>
        <v>3.7999999999999999E-2</v>
      </c>
      <c r="L71" s="46">
        <v>59</v>
      </c>
      <c r="M71" s="5">
        <f t="shared" si="2"/>
        <v>-127929.42436478451</v>
      </c>
      <c r="N71" s="48">
        <f>PPMT($K71/12,1,$C$5-L71+1,$B$5+SUM($N$13:N70),0)</f>
        <v>-23511.747365643776</v>
      </c>
      <c r="O71" s="48">
        <f>-($B$5+SUM($N$13:$N70))*$K71/12</f>
        <v>-18289.363361059895</v>
      </c>
      <c r="P71" s="48">
        <f t="shared" si="3"/>
        <v>-41801.110726703671</v>
      </c>
      <c r="Q71" s="48">
        <f>($B$5+SUM($D$13:$D71))</f>
        <v>6930123.462493659</v>
      </c>
    </row>
    <row r="72" spans="2:17">
      <c r="B72" s="45">
        <f>'Ипотечный калькулятор'!$C$21</f>
        <v>0.29000000000000004</v>
      </c>
      <c r="C72" s="47">
        <v>60</v>
      </c>
      <c r="D72" s="48">
        <f>PPMT($B72/12,1,$C$5-C72+1,$B$5+SUM($D$13:D71),0)</f>
        <v>-2252.5514145580673</v>
      </c>
      <c r="E72" s="48">
        <f>IFERROR(-($B$5+SUM($D$13:$D71))*$B72/12,0)</f>
        <v>-167477.9836769301</v>
      </c>
      <c r="F72" s="48">
        <f t="shared" si="0"/>
        <v>-169730.53509148816</v>
      </c>
      <c r="G72" s="48">
        <f>($B$5+SUM($D$13:$D72))</f>
        <v>6927870.9110791003</v>
      </c>
      <c r="K72" s="45">
        <f t="shared" si="1"/>
        <v>3.7999999999999999E-2</v>
      </c>
      <c r="L72" s="47">
        <v>60</v>
      </c>
      <c r="M72" s="5">
        <f t="shared" si="2"/>
        <v>-127929.42436478449</v>
      </c>
      <c r="N72" s="48">
        <f>PPMT($K72/12,1,$C$5-L72+1,$B$5+SUM($N$13:N71),0)</f>
        <v>-23586.201232301646</v>
      </c>
      <c r="O72" s="48">
        <f>-($B$5+SUM($N$13:$N71))*$K72/12</f>
        <v>-18214.909494402022</v>
      </c>
      <c r="P72" s="48">
        <f t="shared" si="3"/>
        <v>-41801.110726703671</v>
      </c>
      <c r="Q72" s="48">
        <f>($B$5+SUM($D$13:$D72))</f>
        <v>6927870.9110791003</v>
      </c>
    </row>
    <row r="73" spans="2:17">
      <c r="B73" s="45">
        <f>'Ипотечный калькулятор'!$C$21</f>
        <v>0.29000000000000004</v>
      </c>
      <c r="C73" s="46">
        <v>61</v>
      </c>
      <c r="D73" s="48">
        <f>PPMT($B73/12,1,$C$5-C73+1,$B$5+SUM($D$13:D72),0)</f>
        <v>-2306.9880737432195</v>
      </c>
      <c r="E73" s="48">
        <f>IFERROR(-($B$5+SUM($D$13:$D72))*$B73/12,0)</f>
        <v>-167423.54701774495</v>
      </c>
      <c r="F73" s="48">
        <f t="shared" si="0"/>
        <v>-169730.53509148816</v>
      </c>
      <c r="G73" s="48">
        <f>($B$5+SUM($D$13:$D73))</f>
        <v>6925563.9230053574</v>
      </c>
      <c r="K73" s="45">
        <f t="shared" si="1"/>
        <v>3.7999999999999999E-2</v>
      </c>
      <c r="L73" s="46">
        <v>61</v>
      </c>
      <c r="M73" s="5">
        <f t="shared" si="2"/>
        <v>-127929.42436478449</v>
      </c>
      <c r="N73" s="48">
        <f>PPMT($K73/12,1,$C$5-L73+1,$B$5+SUM($N$13:N72),0)</f>
        <v>-23660.89086953727</v>
      </c>
      <c r="O73" s="48">
        <f>-($B$5+SUM($N$13:$N72))*$K73/12</f>
        <v>-18140.219857166401</v>
      </c>
      <c r="P73" s="48">
        <f t="shared" si="3"/>
        <v>-41801.110726703671</v>
      </c>
      <c r="Q73" s="48">
        <f>($B$5+SUM($D$13:$D73))</f>
        <v>6925563.9230053574</v>
      </c>
    </row>
    <row r="74" spans="2:17">
      <c r="B74" s="45">
        <f>'Ипотечный калькулятор'!$C$21</f>
        <v>0.29000000000000004</v>
      </c>
      <c r="C74" s="47">
        <v>62</v>
      </c>
      <c r="D74" s="48">
        <f>PPMT($B74/12,1,$C$5-C74+1,$B$5+SUM($D$13:D73),0)</f>
        <v>-2362.7402855253463</v>
      </c>
      <c r="E74" s="48">
        <f>IFERROR(-($B$5+SUM($D$13:$D73))*$B74/12,0)</f>
        <v>-167367.79480596283</v>
      </c>
      <c r="F74" s="48">
        <f t="shared" si="0"/>
        <v>-169730.53509148819</v>
      </c>
      <c r="G74" s="48">
        <f>($B$5+SUM($D$13:$D74))</f>
        <v>6923201.1827198323</v>
      </c>
      <c r="K74" s="45">
        <f t="shared" si="1"/>
        <v>3.7999999999999999E-2</v>
      </c>
      <c r="L74" s="47">
        <v>62</v>
      </c>
      <c r="M74" s="5">
        <f t="shared" si="2"/>
        <v>-127929.42436478453</v>
      </c>
      <c r="N74" s="48">
        <f>PPMT($K74/12,1,$C$5-L74+1,$B$5+SUM($N$13:N73),0)</f>
        <v>-23735.817023957465</v>
      </c>
      <c r="O74" s="48">
        <f>-($B$5+SUM($N$13:$N73))*$K74/12</f>
        <v>-18065.293702746199</v>
      </c>
      <c r="P74" s="48">
        <f t="shared" si="3"/>
        <v>-41801.110726703664</v>
      </c>
      <c r="Q74" s="48">
        <f>($B$5+SUM($D$13:$D74))</f>
        <v>6923201.1827198323</v>
      </c>
    </row>
    <row r="75" spans="2:17">
      <c r="B75" s="45">
        <f>'Ипотечный калькулятор'!$C$21</f>
        <v>0.29000000000000004</v>
      </c>
      <c r="C75" s="46">
        <v>63</v>
      </c>
      <c r="D75" s="48">
        <f>PPMT($B75/12,1,$C$5-C75+1,$B$5+SUM($D$13:D74),0)</f>
        <v>-2419.8398424255433</v>
      </c>
      <c r="E75" s="48">
        <f>IFERROR(-($B$5+SUM($D$13:$D74))*$B75/12,0)</f>
        <v>-167310.69524906264</v>
      </c>
      <c r="F75" s="48">
        <f t="shared" si="0"/>
        <v>-169730.53509148819</v>
      </c>
      <c r="G75" s="48">
        <f>($B$5+SUM($D$13:$D75))</f>
        <v>6920781.3428774066</v>
      </c>
      <c r="K75" s="45">
        <f t="shared" si="1"/>
        <v>3.7999999999999999E-2</v>
      </c>
      <c r="L75" s="46">
        <v>63</v>
      </c>
      <c r="M75" s="5">
        <f t="shared" si="2"/>
        <v>-127929.42436478453</v>
      </c>
      <c r="N75" s="48">
        <f>PPMT($K75/12,1,$C$5-L75+1,$B$5+SUM($N$13:N74),0)</f>
        <v>-23810.980444533332</v>
      </c>
      <c r="O75" s="48">
        <f>-($B$5+SUM($N$13:$N74))*$K75/12</f>
        <v>-17990.130282170332</v>
      </c>
      <c r="P75" s="48">
        <f t="shared" si="3"/>
        <v>-41801.110726703664</v>
      </c>
      <c r="Q75" s="48">
        <f>($B$5+SUM($D$13:$D75))</f>
        <v>6920781.3428774066</v>
      </c>
    </row>
    <row r="76" spans="2:17">
      <c r="B76" s="45">
        <f>'Ипотечный калькулятор'!$C$21</f>
        <v>0.29000000000000004</v>
      </c>
      <c r="C76" s="47">
        <v>64</v>
      </c>
      <c r="D76" s="48">
        <f>PPMT($B76/12,1,$C$5-C76+1,$B$5+SUM($D$13:D75),0)</f>
        <v>-2478.3193052841621</v>
      </c>
      <c r="E76" s="48">
        <f>IFERROR(-($B$5+SUM($D$13:$D75))*$B76/12,0)</f>
        <v>-167252.215786204</v>
      </c>
      <c r="F76" s="48">
        <f t="shared" si="0"/>
        <v>-169730.53509148816</v>
      </c>
      <c r="G76" s="48">
        <f>($B$5+SUM($D$13:$D76))</f>
        <v>6918303.0235721227</v>
      </c>
      <c r="K76" s="45">
        <f t="shared" si="1"/>
        <v>3.7999999999999999E-2</v>
      </c>
      <c r="L76" s="47">
        <v>64</v>
      </c>
      <c r="M76" s="5">
        <f t="shared" si="2"/>
        <v>-127929.42436478449</v>
      </c>
      <c r="N76" s="48">
        <f>PPMT($K76/12,1,$C$5-L76+1,$B$5+SUM($N$13:N75),0)</f>
        <v>-23886.381882607693</v>
      </c>
      <c r="O76" s="48">
        <f>-($B$5+SUM($N$13:$N75))*$K76/12</f>
        <v>-17914.728844095978</v>
      </c>
      <c r="P76" s="48">
        <f t="shared" si="3"/>
        <v>-41801.110726703671</v>
      </c>
      <c r="Q76" s="48">
        <f>($B$5+SUM($D$13:$D76))</f>
        <v>6918303.0235721227</v>
      </c>
    </row>
    <row r="77" spans="2:17">
      <c r="B77" s="45">
        <f>'Ипотечный калькулятор'!$C$21</f>
        <v>0.29000000000000004</v>
      </c>
      <c r="C77" s="46">
        <v>65</v>
      </c>
      <c r="D77" s="48">
        <f>PPMT($B77/12,1,$C$5-C77+1,$B$5+SUM($D$13:D76),0)</f>
        <v>-2538.2120218285281</v>
      </c>
      <c r="E77" s="48">
        <f>IFERROR(-($B$5+SUM($D$13:$D76))*$B77/12,0)</f>
        <v>-167192.32306965964</v>
      </c>
      <c r="F77" s="48">
        <f t="shared" ref="F77:F140" si="4">SUM(D77:E77)</f>
        <v>-169730.53509148819</v>
      </c>
      <c r="G77" s="48">
        <f>($B$5+SUM($D$13:$D77))</f>
        <v>6915764.811550294</v>
      </c>
      <c r="K77" s="45">
        <f t="shared" si="1"/>
        <v>3.7999999999999999E-2</v>
      </c>
      <c r="L77" s="46">
        <v>65</v>
      </c>
      <c r="M77" s="5">
        <f t="shared" si="2"/>
        <v>-127929.42436478453</v>
      </c>
      <c r="N77" s="48">
        <f>PPMT($K77/12,1,$C$5-L77+1,$B$5+SUM($N$13:N76),0)</f>
        <v>-23962.022091902611</v>
      </c>
      <c r="O77" s="48">
        <f>-($B$5+SUM($N$13:$N76))*$K77/12</f>
        <v>-17839.08863480105</v>
      </c>
      <c r="P77" s="48">
        <f t="shared" si="3"/>
        <v>-41801.110726703657</v>
      </c>
      <c r="Q77" s="48">
        <f>($B$5+SUM($D$13:$D77))</f>
        <v>6915764.811550294</v>
      </c>
    </row>
    <row r="78" spans="2:17">
      <c r="B78" s="45">
        <f>'Ипотечный калькулятор'!$C$21</f>
        <v>0.29000000000000004</v>
      </c>
      <c r="C78" s="47">
        <v>66</v>
      </c>
      <c r="D78" s="48">
        <f>PPMT($B78/12,1,$C$5-C78+1,$B$5+SUM($D$13:D77),0)</f>
        <v>-2599.5521456893825</v>
      </c>
      <c r="E78" s="48">
        <f>IFERROR(-($B$5+SUM($D$13:$D77))*$B78/12,0)</f>
        <v>-167130.98294579881</v>
      </c>
      <c r="F78" s="48">
        <f t="shared" si="4"/>
        <v>-169730.53509148819</v>
      </c>
      <c r="G78" s="48">
        <f>($B$5+SUM($D$13:$D78))</f>
        <v>6913165.2594046043</v>
      </c>
      <c r="K78" s="45">
        <f t="shared" ref="K78:K141" si="5">$K$5</f>
        <v>3.7999999999999999E-2</v>
      </c>
      <c r="L78" s="47">
        <v>66</v>
      </c>
      <c r="M78" s="5">
        <f t="shared" si="2"/>
        <v>-127929.42436478453</v>
      </c>
      <c r="N78" s="48">
        <f>PPMT($K78/12,1,$C$5-L78+1,$B$5+SUM($N$13:N77),0)</f>
        <v>-24037.901828526967</v>
      </c>
      <c r="O78" s="48">
        <f>-($B$5+SUM($N$13:$N77))*$K78/12</f>
        <v>-17763.208898176694</v>
      </c>
      <c r="P78" s="48">
        <f t="shared" si="3"/>
        <v>-41801.110726703657</v>
      </c>
      <c r="Q78" s="48">
        <f>($B$5+SUM($D$13:$D78))</f>
        <v>6913165.2594046043</v>
      </c>
    </row>
    <row r="79" spans="2:17">
      <c r="B79" s="45">
        <f>'Ипотечный калькулятор'!$C$21</f>
        <v>0.29000000000000004</v>
      </c>
      <c r="C79" s="46">
        <v>67</v>
      </c>
      <c r="D79" s="48">
        <f>PPMT($B79/12,1,$C$5-C79+1,$B$5+SUM($D$13:D78),0)</f>
        <v>-2662.3746558768776</v>
      </c>
      <c r="E79" s="48">
        <f>IFERROR(-($B$5+SUM($D$13:$D78))*$B79/12,0)</f>
        <v>-167068.16043561129</v>
      </c>
      <c r="F79" s="48">
        <f t="shared" si="4"/>
        <v>-169730.53509148819</v>
      </c>
      <c r="G79" s="48">
        <f>($B$5+SUM($D$13:$D79))</f>
        <v>6910502.8847487271</v>
      </c>
      <c r="K79" s="45">
        <f t="shared" si="5"/>
        <v>3.7999999999999999E-2</v>
      </c>
      <c r="L79" s="46">
        <v>67</v>
      </c>
      <c r="M79" s="5">
        <f t="shared" ref="M79:M142" si="6">IF(C79-2&lt;$L$5,IFERROR(F79-P79,0),0)</f>
        <v>-127929.42436478451</v>
      </c>
      <c r="N79" s="48">
        <f>PPMT($K79/12,1,$C$5-L79+1,$B$5+SUM($N$13:N78),0)</f>
        <v>-24114.02185098398</v>
      </c>
      <c r="O79" s="48">
        <f>-($B$5+SUM($N$13:$N78))*$K79/12</f>
        <v>-17687.088875719692</v>
      </c>
      <c r="P79" s="48">
        <f t="shared" ref="P79:P142" si="7">SUM(N79:O79)</f>
        <v>-41801.110726703671</v>
      </c>
      <c r="Q79" s="48">
        <f>($B$5+SUM($D$13:$D79))</f>
        <v>6910502.8847487271</v>
      </c>
    </row>
    <row r="80" spans="2:17">
      <c r="B80" s="45">
        <f>'Ипотечный калькулятор'!$C$21</f>
        <v>0.29000000000000004</v>
      </c>
      <c r="C80" s="47">
        <v>68</v>
      </c>
      <c r="D80" s="48">
        <f>PPMT($B80/12,1,$C$5-C80+1,$B$5+SUM($D$13:D79),0)</f>
        <v>-2726.7153767272366</v>
      </c>
      <c r="E80" s="48">
        <f>IFERROR(-($B$5+SUM($D$13:$D79))*$B80/12,0)</f>
        <v>-167003.81971476093</v>
      </c>
      <c r="F80" s="48">
        <f t="shared" si="4"/>
        <v>-169730.53509148816</v>
      </c>
      <c r="G80" s="48">
        <f>($B$5+SUM($D$13:$D80))</f>
        <v>6907776.1693720007</v>
      </c>
      <c r="K80" s="45">
        <f t="shared" si="5"/>
        <v>3.7999999999999999E-2</v>
      </c>
      <c r="L80" s="47">
        <v>68</v>
      </c>
      <c r="M80" s="5">
        <f t="shared" si="6"/>
        <v>-127929.42436478449</v>
      </c>
      <c r="N80" s="48">
        <f>PPMT($K80/12,1,$C$5-L80+1,$B$5+SUM($N$13:N79),0)</f>
        <v>-24190.382920178756</v>
      </c>
      <c r="O80" s="48">
        <f>-($B$5+SUM($N$13:$N79))*$K80/12</f>
        <v>-17610.727806524912</v>
      </c>
      <c r="P80" s="48">
        <f t="shared" si="7"/>
        <v>-41801.110726703671</v>
      </c>
      <c r="Q80" s="48">
        <f>($B$5+SUM($D$13:$D80))</f>
        <v>6907776.1693720007</v>
      </c>
    </row>
    <row r="81" spans="2:17">
      <c r="B81" s="45">
        <f>'Ипотечный калькулятор'!$C$21</f>
        <v>0.29000000000000004</v>
      </c>
      <c r="C81" s="46">
        <v>69</v>
      </c>
      <c r="D81" s="48">
        <f>PPMT($B81/12,1,$C$5-C81+1,$B$5+SUM($D$13:D80),0)</f>
        <v>-2792.6109983314773</v>
      </c>
      <c r="E81" s="48">
        <f>IFERROR(-($B$5+SUM($D$13:$D80))*$B81/12,0)</f>
        <v>-166937.9240931567</v>
      </c>
      <c r="F81" s="48">
        <f t="shared" si="4"/>
        <v>-169730.53509148819</v>
      </c>
      <c r="G81" s="48">
        <f>($B$5+SUM($D$13:$D81))</f>
        <v>6904983.5583736692</v>
      </c>
      <c r="K81" s="45">
        <f t="shared" si="5"/>
        <v>3.7999999999999999E-2</v>
      </c>
      <c r="L81" s="46">
        <v>69</v>
      </c>
      <c r="M81" s="5">
        <f t="shared" si="6"/>
        <v>-127929.42436478453</v>
      </c>
      <c r="N81" s="48">
        <f>PPMT($K81/12,1,$C$5-L81+1,$B$5+SUM($N$13:N80),0)</f>
        <v>-24266.985799425984</v>
      </c>
      <c r="O81" s="48">
        <f>-($B$5+SUM($N$13:$N80))*$K81/12</f>
        <v>-17534.124927277677</v>
      </c>
      <c r="P81" s="48">
        <f t="shared" si="7"/>
        <v>-41801.110726703657</v>
      </c>
      <c r="Q81" s="48">
        <f>($B$5+SUM($D$13:$D81))</f>
        <v>6904983.5583736692</v>
      </c>
    </row>
    <row r="82" spans="2:17">
      <c r="B82" s="45">
        <f>'Ипотечный калькулятор'!$C$21</f>
        <v>0.29000000000000004</v>
      </c>
      <c r="C82" s="47">
        <v>70</v>
      </c>
      <c r="D82" s="48">
        <f>PPMT($B82/12,1,$C$5-C82+1,$B$5+SUM($D$13:D81),0)</f>
        <v>-2860.0990974578194</v>
      </c>
      <c r="E82" s="48">
        <f>IFERROR(-($B$5+SUM($D$13:$D81))*$B82/12,0)</f>
        <v>-166870.43599403035</v>
      </c>
      <c r="F82" s="48">
        <f t="shared" si="4"/>
        <v>-169730.53509148819</v>
      </c>
      <c r="G82" s="48">
        <f>($B$5+SUM($D$13:$D82))</f>
        <v>6902123.4592762114</v>
      </c>
      <c r="K82" s="45">
        <f t="shared" si="5"/>
        <v>3.7999999999999999E-2</v>
      </c>
      <c r="L82" s="47">
        <v>70</v>
      </c>
      <c r="M82" s="5">
        <f t="shared" si="6"/>
        <v>-127929.42436478453</v>
      </c>
      <c r="N82" s="48">
        <f>PPMT($K82/12,1,$C$5-L82+1,$B$5+SUM($N$13:N81),0)</f>
        <v>-24343.831254457506</v>
      </c>
      <c r="O82" s="48">
        <f>-($B$5+SUM($N$13:$N81))*$K82/12</f>
        <v>-17457.279472246159</v>
      </c>
      <c r="P82" s="48">
        <f t="shared" si="7"/>
        <v>-41801.110726703664</v>
      </c>
      <c r="Q82" s="48">
        <f>($B$5+SUM($D$13:$D82))</f>
        <v>6902123.4592762114</v>
      </c>
    </row>
    <row r="83" spans="2:17">
      <c r="B83" s="45">
        <f>'Ипотечный калькулятор'!$C$21</f>
        <v>0.29000000000000004</v>
      </c>
      <c r="C83" s="46">
        <v>71</v>
      </c>
      <c r="D83" s="48">
        <f>PPMT($B83/12,1,$C$5-C83+1,$B$5+SUM($D$13:D82),0)</f>
        <v>-2929.2181589797178</v>
      </c>
      <c r="E83" s="48">
        <f>IFERROR(-($B$5+SUM($D$13:$D82))*$B83/12,0)</f>
        <v>-166801.31693250846</v>
      </c>
      <c r="F83" s="48">
        <f t="shared" si="4"/>
        <v>-169730.53509148819</v>
      </c>
      <c r="G83" s="48">
        <f>($B$5+SUM($D$13:$D83))</f>
        <v>6899194.2411172315</v>
      </c>
      <c r="K83" s="45">
        <f t="shared" si="5"/>
        <v>3.7999999999999999E-2</v>
      </c>
      <c r="L83" s="46">
        <v>71</v>
      </c>
      <c r="M83" s="5">
        <f t="shared" si="6"/>
        <v>-127929.42436478451</v>
      </c>
      <c r="N83" s="48">
        <f>PPMT($K83/12,1,$C$5-L83+1,$B$5+SUM($N$13:N82),0)</f>
        <v>-24420.920053429956</v>
      </c>
      <c r="O83" s="48">
        <f>-($B$5+SUM($N$13:$N82))*$K83/12</f>
        <v>-17380.190673273712</v>
      </c>
      <c r="P83" s="48">
        <f t="shared" si="7"/>
        <v>-41801.110726703671</v>
      </c>
      <c r="Q83" s="48">
        <f>($B$5+SUM($D$13:$D83))</f>
        <v>6899194.2411172315</v>
      </c>
    </row>
    <row r="84" spans="2:17">
      <c r="B84" s="45">
        <f>'Ипотечный калькулятор'!$C$21</f>
        <v>0.29000000000000004</v>
      </c>
      <c r="C84" s="47">
        <v>72</v>
      </c>
      <c r="D84" s="48">
        <f>PPMT($B84/12,1,$C$5-C84+1,$B$5+SUM($D$13:D83),0)</f>
        <v>-3000.0075978217292</v>
      </c>
      <c r="E84" s="48">
        <f>IFERROR(-($B$5+SUM($D$13:$D83))*$B84/12,0)</f>
        <v>-166730.52749366645</v>
      </c>
      <c r="F84" s="48">
        <f t="shared" si="4"/>
        <v>-169730.53509148819</v>
      </c>
      <c r="G84" s="48">
        <f>($B$5+SUM($D$13:$D84))</f>
        <v>6896194.2335194098</v>
      </c>
      <c r="K84" s="45">
        <f t="shared" si="5"/>
        <v>3.7999999999999999E-2</v>
      </c>
      <c r="L84" s="47">
        <v>72</v>
      </c>
      <c r="M84" s="5">
        <f t="shared" si="6"/>
        <v>-127929.42436478453</v>
      </c>
      <c r="N84" s="48">
        <f>PPMT($K84/12,1,$C$5-L84+1,$B$5+SUM($N$13:N83),0)</f>
        <v>-24498.252966932476</v>
      </c>
      <c r="O84" s="48">
        <f>-($B$5+SUM($N$13:$N83))*$K84/12</f>
        <v>-17302.857759771185</v>
      </c>
      <c r="P84" s="48">
        <f t="shared" si="7"/>
        <v>-41801.110726703657</v>
      </c>
      <c r="Q84" s="48">
        <f>($B$5+SUM($D$13:$D84))</f>
        <v>6896194.2335194098</v>
      </c>
    </row>
    <row r="85" spans="2:17">
      <c r="B85" s="45">
        <f>'Ипотечный калькулятор'!$C$21</f>
        <v>0.29000000000000004</v>
      </c>
      <c r="C85" s="46">
        <v>73</v>
      </c>
      <c r="D85" s="48">
        <f>PPMT($B85/12,1,$C$5-C85+1,$B$5+SUM($D$13:D84),0)</f>
        <v>-3072.5077814357528</v>
      </c>
      <c r="E85" s="48">
        <f>IFERROR(-($B$5+SUM($D$13:$D84))*$B85/12,0)</f>
        <v>-166658.02731005242</v>
      </c>
      <c r="F85" s="48">
        <f t="shared" si="4"/>
        <v>-169730.53509148819</v>
      </c>
      <c r="G85" s="48">
        <f>($B$5+SUM($D$13:$D85))</f>
        <v>6893121.725737974</v>
      </c>
      <c r="K85" s="45">
        <f t="shared" si="5"/>
        <v>3.7999999999999999E-2</v>
      </c>
      <c r="L85" s="46">
        <v>73</v>
      </c>
      <c r="M85" s="5">
        <f t="shared" si="6"/>
        <v>-127929.42436478453</v>
      </c>
      <c r="N85" s="48">
        <f>PPMT($K85/12,1,$C$5-L85+1,$B$5+SUM($N$13:N84),0)</f>
        <v>-24575.83076799443</v>
      </c>
      <c r="O85" s="48">
        <f>-($B$5+SUM($N$13:$N84))*$K85/12</f>
        <v>-17225.279958709234</v>
      </c>
      <c r="P85" s="48">
        <f t="shared" si="7"/>
        <v>-41801.110726703664</v>
      </c>
      <c r="Q85" s="48">
        <f>($B$5+SUM($D$13:$D85))</f>
        <v>6893121.725737974</v>
      </c>
    </row>
    <row r="86" spans="2:17">
      <c r="B86" s="45">
        <f>'Ипотечный калькулятор'!$C$21</f>
        <v>0.29000000000000004</v>
      </c>
      <c r="C86" s="47">
        <v>74</v>
      </c>
      <c r="D86" s="48">
        <f>PPMT($B86/12,1,$C$5-C86+1,$B$5+SUM($D$13:D85),0)</f>
        <v>-3146.7600528204507</v>
      </c>
      <c r="E86" s="48">
        <f>IFERROR(-($B$5+SUM($D$13:$D85))*$B86/12,0)</f>
        <v>-166583.77503866772</v>
      </c>
      <c r="F86" s="48">
        <f t="shared" si="4"/>
        <v>-169730.53509148819</v>
      </c>
      <c r="G86" s="48">
        <f>($B$5+SUM($D$13:$D86))</f>
        <v>6889974.9656851534</v>
      </c>
      <c r="K86" s="45">
        <f t="shared" si="5"/>
        <v>3.7999999999999999E-2</v>
      </c>
      <c r="L86" s="47">
        <v>74</v>
      </c>
      <c r="M86" s="5">
        <f t="shared" si="6"/>
        <v>-127929.42436478453</v>
      </c>
      <c r="N86" s="48">
        <f>PPMT($K86/12,1,$C$5-L86+1,$B$5+SUM($N$13:N85),0)</f>
        <v>-24653.654232093082</v>
      </c>
      <c r="O86" s="48">
        <f>-($B$5+SUM($N$13:$N85))*$K86/12</f>
        <v>-17147.456494610582</v>
      </c>
      <c r="P86" s="48">
        <f t="shared" si="7"/>
        <v>-41801.110726703664</v>
      </c>
      <c r="Q86" s="48">
        <f>($B$5+SUM($D$13:$D86))</f>
        <v>6889974.9656851534</v>
      </c>
    </row>
    <row r="87" spans="2:17">
      <c r="B87" s="45">
        <f>'Ипотечный калькулятор'!$C$21</f>
        <v>0.29000000000000004</v>
      </c>
      <c r="C87" s="46">
        <v>75</v>
      </c>
      <c r="D87" s="48">
        <f>PPMT($B87/12,1,$C$5-C87+1,$B$5+SUM($D$13:D86),0)</f>
        <v>-3222.8067540969446</v>
      </c>
      <c r="E87" s="48">
        <f>IFERROR(-($B$5+SUM($D$13:$D86))*$B87/12,0)</f>
        <v>-166507.72833739122</v>
      </c>
      <c r="F87" s="48">
        <f t="shared" si="4"/>
        <v>-169730.53509148816</v>
      </c>
      <c r="G87" s="48">
        <f>($B$5+SUM($D$13:$D87))</f>
        <v>6886752.158931056</v>
      </c>
      <c r="K87" s="45">
        <f t="shared" si="5"/>
        <v>3.7999999999999999E-2</v>
      </c>
      <c r="L87" s="46">
        <v>75</v>
      </c>
      <c r="M87" s="5">
        <f t="shared" si="6"/>
        <v>-127929.4243647845</v>
      </c>
      <c r="N87" s="48">
        <f>PPMT($K87/12,1,$C$5-L87+1,$B$5+SUM($N$13:N86),0)</f>
        <v>-24731.724137161371</v>
      </c>
      <c r="O87" s="48">
        <f>-($B$5+SUM($N$13:$N86))*$K87/12</f>
        <v>-17069.38658954229</v>
      </c>
      <c r="P87" s="48">
        <f t="shared" si="7"/>
        <v>-41801.110726703657</v>
      </c>
      <c r="Q87" s="48">
        <f>($B$5+SUM($D$13:$D87))</f>
        <v>6886752.158931056</v>
      </c>
    </row>
    <row r="88" spans="2:17">
      <c r="B88" s="45">
        <f>'Ипотечный калькулятор'!$C$21</f>
        <v>0.29000000000000004</v>
      </c>
      <c r="C88" s="47">
        <v>76</v>
      </c>
      <c r="D88" s="48">
        <f>PPMT($B88/12,1,$C$5-C88+1,$B$5+SUM($D$13:D87),0)</f>
        <v>-3300.6912506542876</v>
      </c>
      <c r="E88" s="48">
        <f>IFERROR(-($B$5+SUM($D$13:$D87))*$B88/12,0)</f>
        <v>-166429.84384083387</v>
      </c>
      <c r="F88" s="48">
        <f t="shared" si="4"/>
        <v>-169730.53509148816</v>
      </c>
      <c r="G88" s="48">
        <f>($B$5+SUM($D$13:$D88))</f>
        <v>6883451.4676804021</v>
      </c>
      <c r="K88" s="45">
        <f t="shared" si="5"/>
        <v>3.7999999999999999E-2</v>
      </c>
      <c r="L88" s="47">
        <v>76</v>
      </c>
      <c r="M88" s="5">
        <f t="shared" si="6"/>
        <v>-127929.4243647845</v>
      </c>
      <c r="N88" s="48">
        <f>PPMT($K88/12,1,$C$5-L88+1,$B$5+SUM($N$13:N87),0)</f>
        <v>-24810.041263595718</v>
      </c>
      <c r="O88" s="48">
        <f>-($B$5+SUM($N$13:$N87))*$K88/12</f>
        <v>-16991.069463107942</v>
      </c>
      <c r="P88" s="48">
        <f t="shared" si="7"/>
        <v>-41801.110726703657</v>
      </c>
      <c r="Q88" s="48">
        <f>($B$5+SUM($D$13:$D88))</f>
        <v>6883451.4676804021</v>
      </c>
    </row>
    <row r="89" spans="2:17">
      <c r="B89" s="45">
        <f>'Ипотечный калькулятор'!$C$21</f>
        <v>0.29000000000000004</v>
      </c>
      <c r="C89" s="46">
        <v>77</v>
      </c>
      <c r="D89" s="48">
        <f>PPMT($B89/12,1,$C$5-C89+1,$B$5+SUM($D$13:D88),0)</f>
        <v>-3380.457955878433</v>
      </c>
      <c r="E89" s="48">
        <f>IFERROR(-($B$5+SUM($D$13:$D88))*$B89/12,0)</f>
        <v>-166350.07713560972</v>
      </c>
      <c r="F89" s="48">
        <f t="shared" si="4"/>
        <v>-169730.53509148816</v>
      </c>
      <c r="G89" s="48">
        <f>($B$5+SUM($D$13:$D89))</f>
        <v>6880071.0097245239</v>
      </c>
      <c r="K89" s="45">
        <f t="shared" si="5"/>
        <v>3.7999999999999999E-2</v>
      </c>
      <c r="L89" s="46">
        <v>77</v>
      </c>
      <c r="M89" s="5">
        <f t="shared" si="6"/>
        <v>-127929.42436478449</v>
      </c>
      <c r="N89" s="48">
        <f>PPMT($K89/12,1,$C$5-L89+1,$B$5+SUM($N$13:N88),0)</f>
        <v>-24888.606394263777</v>
      </c>
      <c r="O89" s="48">
        <f>-($B$5+SUM($N$13:$N88))*$K89/12</f>
        <v>-16912.50433243989</v>
      </c>
      <c r="P89" s="48">
        <f t="shared" si="7"/>
        <v>-41801.110726703671</v>
      </c>
      <c r="Q89" s="48">
        <f>($B$5+SUM($D$13:$D89))</f>
        <v>6880071.0097245239</v>
      </c>
    </row>
    <row r="90" spans="2:17">
      <c r="B90" s="45">
        <f>'Ипотечный калькулятор'!$C$21</f>
        <v>0.29000000000000004</v>
      </c>
      <c r="C90" s="47">
        <v>78</v>
      </c>
      <c r="D90" s="48">
        <f>PPMT($B90/12,1,$C$5-C90+1,$B$5+SUM($D$13:D89),0)</f>
        <v>-3462.1523564788286</v>
      </c>
      <c r="E90" s="48">
        <f>IFERROR(-($B$5+SUM($D$13:$D89))*$B90/12,0)</f>
        <v>-166268.38273500933</v>
      </c>
      <c r="F90" s="48">
        <f t="shared" si="4"/>
        <v>-169730.53509148816</v>
      </c>
      <c r="G90" s="48">
        <f>($B$5+SUM($D$13:$D90))</f>
        <v>6876608.8573680446</v>
      </c>
      <c r="K90" s="45">
        <f t="shared" si="5"/>
        <v>3.7999999999999999E-2</v>
      </c>
      <c r="L90" s="47">
        <v>78</v>
      </c>
      <c r="M90" s="5">
        <f t="shared" si="6"/>
        <v>-127929.4243647845</v>
      </c>
      <c r="N90" s="48">
        <f>PPMT($K90/12,1,$C$5-L90+1,$B$5+SUM($N$13:N89),0)</f>
        <v>-24967.420314512277</v>
      </c>
      <c r="O90" s="48">
        <f>-($B$5+SUM($N$13:$N89))*$K90/12</f>
        <v>-16833.690412191387</v>
      </c>
      <c r="P90" s="48">
        <f t="shared" si="7"/>
        <v>-41801.110726703664</v>
      </c>
      <c r="Q90" s="48">
        <f>($B$5+SUM($D$13:$D90))</f>
        <v>6876608.8573680446</v>
      </c>
    </row>
    <row r="91" spans="2:17">
      <c r="B91" s="45">
        <f>'Ипотечный калькулятор'!$C$21</f>
        <v>0.29000000000000004</v>
      </c>
      <c r="C91" s="46">
        <v>79</v>
      </c>
      <c r="D91" s="48">
        <f>PPMT($B91/12,1,$C$5-C91+1,$B$5+SUM($D$13:D90),0)</f>
        <v>-3545.821038427066</v>
      </c>
      <c r="E91" s="48">
        <f>IFERROR(-($B$5+SUM($D$13:$D90))*$B91/12,0)</f>
        <v>-166184.71405306109</v>
      </c>
      <c r="F91" s="48">
        <f t="shared" si="4"/>
        <v>-169730.53509148816</v>
      </c>
      <c r="G91" s="48">
        <f>($B$5+SUM($D$13:$D91))</f>
        <v>6873063.0363296177</v>
      </c>
      <c r="K91" s="45">
        <f t="shared" si="5"/>
        <v>3.7999999999999999E-2</v>
      </c>
      <c r="L91" s="46">
        <v>79</v>
      </c>
      <c r="M91" s="5">
        <f t="shared" si="6"/>
        <v>-127929.42436478449</v>
      </c>
      <c r="N91" s="48">
        <f>PPMT($K91/12,1,$C$5-L91+1,$B$5+SUM($N$13:N90),0)</f>
        <v>-25046.483812174902</v>
      </c>
      <c r="O91" s="48">
        <f>-($B$5+SUM($N$13:$N90))*$K91/12</f>
        <v>-16754.626914528766</v>
      </c>
      <c r="P91" s="48">
        <f t="shared" si="7"/>
        <v>-41801.110726703671</v>
      </c>
      <c r="Q91" s="48">
        <f>($B$5+SUM($D$13:$D91))</f>
        <v>6873063.0363296177</v>
      </c>
    </row>
    <row r="92" spans="2:17">
      <c r="B92" s="45">
        <f>'Ипотечный калькулятор'!$C$21</f>
        <v>0.29000000000000004</v>
      </c>
      <c r="C92" s="47">
        <v>80</v>
      </c>
      <c r="D92" s="48">
        <f>PPMT($B92/12,1,$C$5-C92+1,$B$5+SUM($D$13:D91),0)</f>
        <v>-3631.5117135223873</v>
      </c>
      <c r="E92" s="48">
        <f>IFERROR(-($B$5+SUM($D$13:$D91))*$B92/12,0)</f>
        <v>-166099.02337796579</v>
      </c>
      <c r="F92" s="48">
        <f t="shared" si="4"/>
        <v>-169730.53509148819</v>
      </c>
      <c r="G92" s="48">
        <f>($B$5+SUM($D$13:$D92))</f>
        <v>6869431.5246160952</v>
      </c>
      <c r="K92" s="45">
        <f t="shared" si="5"/>
        <v>3.7999999999999999E-2</v>
      </c>
      <c r="L92" s="47">
        <v>80</v>
      </c>
      <c r="M92" s="5">
        <f t="shared" si="6"/>
        <v>-127929.42436478451</v>
      </c>
      <c r="N92" s="48">
        <f>PPMT($K92/12,1,$C$5-L92+1,$B$5+SUM($N$13:N91),0)</f>
        <v>-25125.797677580122</v>
      </c>
      <c r="O92" s="48">
        <f>-($B$5+SUM($N$13:$N91))*$K92/12</f>
        <v>-16675.313049123546</v>
      </c>
      <c r="P92" s="48">
        <f t="shared" si="7"/>
        <v>-41801.110726703671</v>
      </c>
      <c r="Q92" s="48">
        <f>($B$5+SUM($D$13:$D92))</f>
        <v>6869431.5246160952</v>
      </c>
    </row>
    <row r="93" spans="2:17">
      <c r="B93" s="45">
        <f>'Ипотечный калькулятор'!$C$21</f>
        <v>0.29000000000000004</v>
      </c>
      <c r="C93" s="46">
        <v>81</v>
      </c>
      <c r="D93" s="48">
        <f>PPMT($B93/12,1,$C$5-C93+1,$B$5+SUM($D$13:D92),0)</f>
        <v>-3719.2732465991785</v>
      </c>
      <c r="E93" s="48">
        <f>IFERROR(-($B$5+SUM($D$13:$D92))*$B93/12,0)</f>
        <v>-166011.261844889</v>
      </c>
      <c r="F93" s="48">
        <f t="shared" si="4"/>
        <v>-169730.53509148819</v>
      </c>
      <c r="G93" s="48">
        <f>($B$5+SUM($D$13:$D93))</f>
        <v>6865712.2513694959</v>
      </c>
      <c r="K93" s="45">
        <f t="shared" si="5"/>
        <v>3.7999999999999999E-2</v>
      </c>
      <c r="L93" s="46">
        <v>81</v>
      </c>
      <c r="M93" s="5">
        <f t="shared" si="6"/>
        <v>-127929.42436478453</v>
      </c>
      <c r="N93" s="48">
        <f>PPMT($K93/12,1,$C$5-L93+1,$B$5+SUM($N$13:N92),0)</f>
        <v>-25205.36270355912</v>
      </c>
      <c r="O93" s="48">
        <f>-($B$5+SUM($N$13:$N92))*$K93/12</f>
        <v>-16595.748023144541</v>
      </c>
      <c r="P93" s="48">
        <f t="shared" si="7"/>
        <v>-41801.110726703657</v>
      </c>
      <c r="Q93" s="48">
        <f>($B$5+SUM($D$13:$D93))</f>
        <v>6865712.2513694959</v>
      </c>
    </row>
    <row r="94" spans="2:17">
      <c r="B94" s="45">
        <f>'Ипотечный калькулятор'!$C$21</f>
        <v>0.29000000000000004</v>
      </c>
      <c r="C94" s="47">
        <v>82</v>
      </c>
      <c r="D94" s="48">
        <f>PPMT($B94/12,1,$C$5-C94+1,$B$5+SUM($D$13:D93),0)</f>
        <v>-3809.1556833919917</v>
      </c>
      <c r="E94" s="48">
        <f>IFERROR(-($B$5+SUM($D$13:$D93))*$B94/12,0)</f>
        <v>-165921.37940809617</v>
      </c>
      <c r="F94" s="48">
        <f t="shared" si="4"/>
        <v>-169730.53509148816</v>
      </c>
      <c r="G94" s="48">
        <f>($B$5+SUM($D$13:$D94))</f>
        <v>6861903.0956861041</v>
      </c>
      <c r="K94" s="45">
        <f t="shared" si="5"/>
        <v>3.7999999999999999E-2</v>
      </c>
      <c r="L94" s="47">
        <v>82</v>
      </c>
      <c r="M94" s="5">
        <f t="shared" si="6"/>
        <v>-127929.4243647845</v>
      </c>
      <c r="N94" s="48">
        <f>PPMT($K94/12,1,$C$5-L94+1,$B$5+SUM($N$13:N93),0)</f>
        <v>-25285.179685453721</v>
      </c>
      <c r="O94" s="48">
        <f>-($B$5+SUM($N$13:$N93))*$K94/12</f>
        <v>-16515.931041249936</v>
      </c>
      <c r="P94" s="48">
        <f t="shared" si="7"/>
        <v>-41801.110726703657</v>
      </c>
      <c r="Q94" s="48">
        <f>($B$5+SUM($D$13:$D94))</f>
        <v>6861903.0956861041</v>
      </c>
    </row>
    <row r="95" spans="2:17">
      <c r="B95" s="45">
        <f>'Ипотечный калькулятор'!$C$21</f>
        <v>0.29000000000000004</v>
      </c>
      <c r="C95" s="46">
        <v>83</v>
      </c>
      <c r="D95" s="48">
        <f>PPMT($B95/12,1,$C$5-C95+1,$B$5+SUM($D$13:D94),0)</f>
        <v>-3901.2102790739655</v>
      </c>
      <c r="E95" s="48">
        <f>IFERROR(-($B$5+SUM($D$13:$D94))*$B95/12,0)</f>
        <v>-165829.32481241421</v>
      </c>
      <c r="F95" s="48">
        <f t="shared" si="4"/>
        <v>-169730.53509148819</v>
      </c>
      <c r="G95" s="48">
        <f>($B$5+SUM($D$13:$D95))</f>
        <v>6858001.8854070306</v>
      </c>
      <c r="K95" s="45">
        <f t="shared" si="5"/>
        <v>3.7999999999999999E-2</v>
      </c>
      <c r="L95" s="46">
        <v>83</v>
      </c>
      <c r="M95" s="5">
        <f t="shared" si="6"/>
        <v>-127929.42436478453</v>
      </c>
      <c r="N95" s="48">
        <f>PPMT($K95/12,1,$C$5-L95+1,$B$5+SUM($N$13:N94),0)</f>
        <v>-25365.249421124328</v>
      </c>
      <c r="O95" s="48">
        <f>-($B$5+SUM($N$13:$N94))*$K95/12</f>
        <v>-16435.861305579336</v>
      </c>
      <c r="P95" s="48">
        <f t="shared" si="7"/>
        <v>-41801.110726703664</v>
      </c>
      <c r="Q95" s="48">
        <f>($B$5+SUM($D$13:$D95))</f>
        <v>6858001.8854070306</v>
      </c>
    </row>
    <row r="96" spans="2:17">
      <c r="B96" s="45">
        <f>'Ипотечный калькулятор'!$C$21</f>
        <v>0.29000000000000004</v>
      </c>
      <c r="C96" s="47">
        <v>84</v>
      </c>
      <c r="D96" s="48">
        <f>PPMT($B96/12,1,$C$5-C96+1,$B$5+SUM($D$13:D95),0)</f>
        <v>-3995.4895274849191</v>
      </c>
      <c r="E96" s="48">
        <f>IFERROR(-($B$5+SUM($D$13:$D95))*$B96/12,0)</f>
        <v>-165735.04556400326</v>
      </c>
      <c r="F96" s="48">
        <f t="shared" si="4"/>
        <v>-169730.53509148819</v>
      </c>
      <c r="G96" s="48">
        <f>($B$5+SUM($D$13:$D96))</f>
        <v>6854006.3958795452</v>
      </c>
      <c r="K96" s="45">
        <f t="shared" si="5"/>
        <v>3.7999999999999999E-2</v>
      </c>
      <c r="L96" s="47">
        <v>84</v>
      </c>
      <c r="M96" s="5">
        <f t="shared" si="6"/>
        <v>-127929.42436478451</v>
      </c>
      <c r="N96" s="48">
        <f>PPMT($K96/12,1,$C$5-L96+1,$B$5+SUM($N$13:N95),0)</f>
        <v>-25445.572710957898</v>
      </c>
      <c r="O96" s="48">
        <f>-($B$5+SUM($N$13:$N95))*$K96/12</f>
        <v>-16355.538015745775</v>
      </c>
      <c r="P96" s="48">
        <f t="shared" si="7"/>
        <v>-41801.110726703671</v>
      </c>
      <c r="Q96" s="48">
        <f>($B$5+SUM($D$13:$D96))</f>
        <v>6854006.3958795452</v>
      </c>
    </row>
    <row r="97" spans="2:17">
      <c r="B97" s="45">
        <f>'Ипотечный калькулятор'!$C$21</f>
        <v>0.29000000000000004</v>
      </c>
      <c r="C97" s="46">
        <v>85</v>
      </c>
      <c r="D97" s="48">
        <f>PPMT($B97/12,1,$C$5-C97+1,$B$5+SUM($D$13:D96),0)</f>
        <v>-4092.0471910658048</v>
      </c>
      <c r="E97" s="48">
        <f>IFERROR(-($B$5+SUM($D$13:$D96))*$B97/12,0)</f>
        <v>-165638.48790042236</v>
      </c>
      <c r="F97" s="48">
        <f t="shared" si="4"/>
        <v>-169730.53509148816</v>
      </c>
      <c r="G97" s="48">
        <f>($B$5+SUM($D$13:$D97))</f>
        <v>6849914.3486884795</v>
      </c>
      <c r="K97" s="45">
        <f t="shared" si="5"/>
        <v>3.7999999999999999E-2</v>
      </c>
      <c r="L97" s="46">
        <v>85</v>
      </c>
      <c r="M97" s="5">
        <f t="shared" si="6"/>
        <v>-127929.42436478449</v>
      </c>
      <c r="N97" s="48">
        <f>PPMT($K97/12,1,$C$5-L97+1,$B$5+SUM($N$13:N96),0)</f>
        <v>-25526.150357875926</v>
      </c>
      <c r="O97" s="48">
        <f>-($B$5+SUM($N$13:$N96))*$K97/12</f>
        <v>-16274.960368827742</v>
      </c>
      <c r="P97" s="48">
        <f t="shared" si="7"/>
        <v>-41801.110726703671</v>
      </c>
      <c r="Q97" s="48">
        <f>($B$5+SUM($D$13:$D97))</f>
        <v>6849914.3486884795</v>
      </c>
    </row>
    <row r="98" spans="2:17">
      <c r="B98" s="45">
        <f>'Ипотечный калькулятор'!$C$21</f>
        <v>0.29000000000000004</v>
      </c>
      <c r="C98" s="47">
        <v>86</v>
      </c>
      <c r="D98" s="48">
        <f>PPMT($B98/12,1,$C$5-C98+1,$B$5+SUM($D$13:D97),0)</f>
        <v>-4190.9383315165614</v>
      </c>
      <c r="E98" s="48">
        <f>IFERROR(-($B$5+SUM($D$13:$D97))*$B98/12,0)</f>
        <v>-165539.59675997161</v>
      </c>
      <c r="F98" s="48">
        <f t="shared" si="4"/>
        <v>-169730.53509148816</v>
      </c>
      <c r="G98" s="48">
        <f>($B$5+SUM($D$13:$D98))</f>
        <v>6845723.4103569631</v>
      </c>
      <c r="K98" s="45">
        <f t="shared" si="5"/>
        <v>3.7999999999999999E-2</v>
      </c>
      <c r="L98" s="47">
        <v>86</v>
      </c>
      <c r="M98" s="5">
        <f t="shared" si="6"/>
        <v>-127929.42436478449</v>
      </c>
      <c r="N98" s="48">
        <f>PPMT($K98/12,1,$C$5-L98+1,$B$5+SUM($N$13:N97),0)</f>
        <v>-25606.983167342532</v>
      </c>
      <c r="O98" s="48">
        <f>-($B$5+SUM($N$13:$N97))*$K98/12</f>
        <v>-16194.127559361135</v>
      </c>
      <c r="P98" s="48">
        <f t="shared" si="7"/>
        <v>-41801.110726703671</v>
      </c>
      <c r="Q98" s="48">
        <f>($B$5+SUM($D$13:$D98))</f>
        <v>6845723.4103569631</v>
      </c>
    </row>
    <row r="99" spans="2:17">
      <c r="B99" s="45">
        <f>'Ипотечный калькулятор'!$C$21</f>
        <v>0.29000000000000004</v>
      </c>
      <c r="C99" s="46">
        <v>87</v>
      </c>
      <c r="D99" s="48">
        <f>PPMT($B99/12,1,$C$5-C99+1,$B$5+SUM($D$13:D98),0)</f>
        <v>-4292.2193411948792</v>
      </c>
      <c r="E99" s="48">
        <f>IFERROR(-($B$5+SUM($D$13:$D98))*$B99/12,0)</f>
        <v>-165438.31575029329</v>
      </c>
      <c r="F99" s="48">
        <f t="shared" si="4"/>
        <v>-169730.53509148816</v>
      </c>
      <c r="G99" s="48">
        <f>($B$5+SUM($D$13:$D99))</f>
        <v>6841431.1910157679</v>
      </c>
      <c r="K99" s="45">
        <f t="shared" si="5"/>
        <v>3.7999999999999999E-2</v>
      </c>
      <c r="L99" s="46">
        <v>87</v>
      </c>
      <c r="M99" s="5">
        <f t="shared" si="6"/>
        <v>-127929.4243647845</v>
      </c>
      <c r="N99" s="48">
        <f>PPMT($K99/12,1,$C$5-L99+1,$B$5+SUM($N$13:N98),0)</f>
        <v>-25688.071947372449</v>
      </c>
      <c r="O99" s="48">
        <f>-($B$5+SUM($N$13:$N98))*$K99/12</f>
        <v>-16113.038779331217</v>
      </c>
      <c r="P99" s="48">
        <f t="shared" si="7"/>
        <v>-41801.110726703664</v>
      </c>
      <c r="Q99" s="48">
        <f>($B$5+SUM($D$13:$D99))</f>
        <v>6841431.1910157679</v>
      </c>
    </row>
    <row r="100" spans="2:17">
      <c r="B100" s="45">
        <f>'Ипотечный калькулятор'!$C$21</f>
        <v>0.29000000000000004</v>
      </c>
      <c r="C100" s="47">
        <v>88</v>
      </c>
      <c r="D100" s="48">
        <f>PPMT($B100/12,1,$C$5-C100+1,$B$5+SUM($D$13:D99),0)</f>
        <v>-4395.9479752737552</v>
      </c>
      <c r="E100" s="48">
        <f>IFERROR(-($B$5+SUM($D$13:$D99))*$B100/12,0)</f>
        <v>-165334.58711621442</v>
      </c>
      <c r="F100" s="48">
        <f t="shared" si="4"/>
        <v>-169730.53509148819</v>
      </c>
      <c r="G100" s="48">
        <f>($B$5+SUM($D$13:$D100))</f>
        <v>6837035.2430404946</v>
      </c>
      <c r="K100" s="45">
        <f t="shared" si="5"/>
        <v>3.7999999999999999E-2</v>
      </c>
      <c r="L100" s="47">
        <v>88</v>
      </c>
      <c r="M100" s="5">
        <f t="shared" si="6"/>
        <v>-127929.42436478453</v>
      </c>
      <c r="N100" s="48">
        <f>PPMT($K100/12,1,$C$5-L100+1,$B$5+SUM($N$13:N99),0)</f>
        <v>-25769.417508539129</v>
      </c>
      <c r="O100" s="48">
        <f>-($B$5+SUM($N$13:$N99))*$K100/12</f>
        <v>-16031.693218164537</v>
      </c>
      <c r="P100" s="48">
        <f t="shared" si="7"/>
        <v>-41801.110726703664</v>
      </c>
      <c r="Q100" s="48">
        <f>($B$5+SUM($D$13:$D100))</f>
        <v>6837035.2430404946</v>
      </c>
    </row>
    <row r="101" spans="2:17">
      <c r="B101" s="45">
        <f>'Ипотечный калькулятор'!$C$21</f>
        <v>0.29000000000000004</v>
      </c>
      <c r="C101" s="46">
        <v>89</v>
      </c>
      <c r="D101" s="48">
        <f>PPMT($B101/12,1,$C$5-C101+1,$B$5+SUM($D$13:D100),0)</f>
        <v>-4502.1833846762038</v>
      </c>
      <c r="E101" s="48">
        <f>IFERROR(-($B$5+SUM($D$13:$D100))*$B101/12,0)</f>
        <v>-165228.35170681195</v>
      </c>
      <c r="F101" s="48">
        <f t="shared" si="4"/>
        <v>-169730.53509148816</v>
      </c>
      <c r="G101" s="48">
        <f>($B$5+SUM($D$13:$D101))</f>
        <v>6832533.0596558182</v>
      </c>
      <c r="K101" s="45">
        <f t="shared" si="5"/>
        <v>3.7999999999999999E-2</v>
      </c>
      <c r="L101" s="46">
        <v>89</v>
      </c>
      <c r="M101" s="5">
        <f t="shared" si="6"/>
        <v>-127929.4243647845</v>
      </c>
      <c r="N101" s="48">
        <f>PPMT($K101/12,1,$C$5-L101+1,$B$5+SUM($N$13:N100),0)</f>
        <v>-25851.020663982839</v>
      </c>
      <c r="O101" s="48">
        <f>-($B$5+SUM($N$13:$N100))*$K101/12</f>
        <v>-15950.090062720827</v>
      </c>
      <c r="P101" s="48">
        <f t="shared" si="7"/>
        <v>-41801.110726703664</v>
      </c>
      <c r="Q101" s="48">
        <f>($B$5+SUM($D$13:$D101))</f>
        <v>6832533.0596558182</v>
      </c>
    </row>
    <row r="102" spans="2:17">
      <c r="B102" s="45">
        <f>'Ипотечный калькулятор'!$C$21</f>
        <v>0.29000000000000004</v>
      </c>
      <c r="C102" s="47">
        <v>90</v>
      </c>
      <c r="D102" s="48">
        <f>PPMT($B102/12,1,$C$5-C102+1,$B$5+SUM($D$13:D101),0)</f>
        <v>-4610.986149805879</v>
      </c>
      <c r="E102" s="48">
        <f>IFERROR(-($B$5+SUM($D$13:$D101))*$B102/12,0)</f>
        <v>-165119.5489416823</v>
      </c>
      <c r="F102" s="48">
        <f t="shared" si="4"/>
        <v>-169730.53509148819</v>
      </c>
      <c r="G102" s="48">
        <f>($B$5+SUM($D$13:$D102))</f>
        <v>6827922.0735060126</v>
      </c>
      <c r="K102" s="45">
        <f t="shared" si="5"/>
        <v>3.7999999999999999E-2</v>
      </c>
      <c r="L102" s="47">
        <v>90</v>
      </c>
      <c r="M102" s="5">
        <f t="shared" si="6"/>
        <v>-127929.42436478453</v>
      </c>
      <c r="N102" s="48">
        <f>PPMT($K102/12,1,$C$5-L102+1,$B$5+SUM($N$13:N101),0)</f>
        <v>-25932.882229418778</v>
      </c>
      <c r="O102" s="48">
        <f>-($B$5+SUM($N$13:$N101))*$K102/12</f>
        <v>-15868.228497284885</v>
      </c>
      <c r="P102" s="48">
        <f t="shared" si="7"/>
        <v>-41801.110726703664</v>
      </c>
      <c r="Q102" s="48">
        <f>($B$5+SUM($D$13:$D102))</f>
        <v>6827922.0735060126</v>
      </c>
    </row>
    <row r="103" spans="2:17">
      <c r="B103" s="45">
        <f>'Ипотечный калькулятор'!$C$21</f>
        <v>0.29000000000000004</v>
      </c>
      <c r="C103" s="46">
        <v>91</v>
      </c>
      <c r="D103" s="48">
        <f>PPMT($B103/12,1,$C$5-C103+1,$B$5+SUM($D$13:D102),0)</f>
        <v>-4722.4183150928548</v>
      </c>
      <c r="E103" s="48">
        <f>IFERROR(-($B$5+SUM($D$13:$D102))*$B103/12,0)</f>
        <v>-165008.11677639533</v>
      </c>
      <c r="F103" s="48">
        <f t="shared" si="4"/>
        <v>-169730.53509148819</v>
      </c>
      <c r="G103" s="48">
        <f>($B$5+SUM($D$13:$D103))</f>
        <v>6823199.6551909195</v>
      </c>
      <c r="K103" s="45">
        <f t="shared" si="5"/>
        <v>3.7999999999999999E-2</v>
      </c>
      <c r="L103" s="46">
        <v>91</v>
      </c>
      <c r="M103" s="5">
        <f t="shared" si="6"/>
        <v>-127929.42436478451</v>
      </c>
      <c r="N103" s="48">
        <f>PPMT($K103/12,1,$C$5-L103+1,$B$5+SUM($N$13:N102),0)</f>
        <v>-26015.00302314528</v>
      </c>
      <c r="O103" s="48">
        <f>-($B$5+SUM($N$13:$N102))*$K103/12</f>
        <v>-15786.107703558393</v>
      </c>
      <c r="P103" s="48">
        <f t="shared" si="7"/>
        <v>-41801.110726703671</v>
      </c>
      <c r="Q103" s="48">
        <f>($B$5+SUM($D$13:$D103))</f>
        <v>6823199.6551909195</v>
      </c>
    </row>
    <row r="104" spans="2:17">
      <c r="B104" s="45">
        <f>'Ипотечный калькулятор'!$C$21</f>
        <v>0.29000000000000004</v>
      </c>
      <c r="C104" s="47">
        <v>92</v>
      </c>
      <c r="D104" s="48">
        <f>PPMT($B104/12,1,$C$5-C104+1,$B$5+SUM($D$13:D103),0)</f>
        <v>-4836.5434243742648</v>
      </c>
      <c r="E104" s="48">
        <f>IFERROR(-($B$5+SUM($D$13:$D103))*$B104/12,0)</f>
        <v>-164893.99166711391</v>
      </c>
      <c r="F104" s="48">
        <f t="shared" si="4"/>
        <v>-169730.53509148819</v>
      </c>
      <c r="G104" s="48">
        <f>($B$5+SUM($D$13:$D104))</f>
        <v>6818363.1117665451</v>
      </c>
      <c r="K104" s="45">
        <f t="shared" si="5"/>
        <v>3.7999999999999999E-2</v>
      </c>
      <c r="L104" s="47">
        <v>92</v>
      </c>
      <c r="M104" s="5">
        <f t="shared" si="6"/>
        <v>-127929.42436478453</v>
      </c>
      <c r="N104" s="48">
        <f>PPMT($K104/12,1,$C$5-L104+1,$B$5+SUM($N$13:N103),0)</f>
        <v>-26097.383866051903</v>
      </c>
      <c r="O104" s="48">
        <f>-($B$5+SUM($N$13:$N103))*$K104/12</f>
        <v>-15703.726860651763</v>
      </c>
      <c r="P104" s="48">
        <f t="shared" si="7"/>
        <v>-41801.110726703664</v>
      </c>
      <c r="Q104" s="48">
        <f>($B$5+SUM($D$13:$D104))</f>
        <v>6818363.1117665451</v>
      </c>
    </row>
    <row r="105" spans="2:17">
      <c r="B105" s="45">
        <f>'Ипотечный калькулятор'!$C$21</f>
        <v>0.29000000000000004</v>
      </c>
      <c r="C105" s="46">
        <v>93</v>
      </c>
      <c r="D105" s="48">
        <f>PPMT($B105/12,1,$C$5-C105+1,$B$5+SUM($D$13:D104),0)</f>
        <v>-4953.4265571299766</v>
      </c>
      <c r="E105" s="48">
        <f>IFERROR(-($B$5+SUM($D$13:$D104))*$B105/12,0)</f>
        <v>-164777.10853435818</v>
      </c>
      <c r="F105" s="48">
        <f t="shared" si="4"/>
        <v>-169730.53509148816</v>
      </c>
      <c r="G105" s="48">
        <f>($B$5+SUM($D$13:$D105))</f>
        <v>6813409.6852094149</v>
      </c>
      <c r="K105" s="45">
        <f t="shared" si="5"/>
        <v>3.7999999999999999E-2</v>
      </c>
      <c r="L105" s="46">
        <v>93</v>
      </c>
      <c r="M105" s="5">
        <f t="shared" si="6"/>
        <v>-127929.4243647845</v>
      </c>
      <c r="N105" s="48">
        <f>PPMT($K105/12,1,$C$5-L105+1,$B$5+SUM($N$13:N104),0)</f>
        <v>-26180.025581627728</v>
      </c>
      <c r="O105" s="48">
        <f>-($B$5+SUM($N$13:$N104))*$K105/12</f>
        <v>-15621.085145075931</v>
      </c>
      <c r="P105" s="48">
        <f t="shared" si="7"/>
        <v>-41801.110726703657</v>
      </c>
      <c r="Q105" s="48">
        <f>($B$5+SUM($D$13:$D105))</f>
        <v>6813409.6852094149</v>
      </c>
    </row>
    <row r="106" spans="2:17">
      <c r="B106" s="45">
        <f>'Ипотечный калькулятор'!$C$21</f>
        <v>0.29000000000000004</v>
      </c>
      <c r="C106" s="47">
        <v>94</v>
      </c>
      <c r="D106" s="48">
        <f>PPMT($B106/12,1,$C$5-C106+1,$B$5+SUM($D$13:D105),0)</f>
        <v>-5073.1343655939509</v>
      </c>
      <c r="E106" s="48">
        <f>IFERROR(-($B$5+SUM($D$13:$D105))*$B106/12,0)</f>
        <v>-164657.40072589423</v>
      </c>
      <c r="F106" s="48">
        <f t="shared" si="4"/>
        <v>-169730.53509148819</v>
      </c>
      <c r="G106" s="48">
        <f>($B$5+SUM($D$13:$D106))</f>
        <v>6808336.5508438209</v>
      </c>
      <c r="K106" s="45">
        <f t="shared" si="5"/>
        <v>3.7999999999999999E-2</v>
      </c>
      <c r="L106" s="47">
        <v>94</v>
      </c>
      <c r="M106" s="5">
        <f t="shared" si="6"/>
        <v>-127929.42436478451</v>
      </c>
      <c r="N106" s="48">
        <f>PPMT($K106/12,1,$C$5-L106+1,$B$5+SUM($N$13:N105),0)</f>
        <v>-26262.928995969556</v>
      </c>
      <c r="O106" s="48">
        <f>-($B$5+SUM($N$13:$N105))*$K106/12</f>
        <v>-15538.181730734112</v>
      </c>
      <c r="P106" s="48">
        <f t="shared" si="7"/>
        <v>-41801.110726703671</v>
      </c>
      <c r="Q106" s="48">
        <f>($B$5+SUM($D$13:$D106))</f>
        <v>6808336.5508438209</v>
      </c>
    </row>
    <row r="107" spans="2:17">
      <c r="B107" s="45">
        <f>'Ипотечный калькулятор'!$C$21</f>
        <v>0.29000000000000004</v>
      </c>
      <c r="C107" s="46">
        <v>95</v>
      </c>
      <c r="D107" s="48">
        <f>PPMT($B107/12,1,$C$5-C107+1,$B$5+SUM($D$13:D106),0)</f>
        <v>-5195.7351127624715</v>
      </c>
      <c r="E107" s="48">
        <f>IFERROR(-($B$5+SUM($D$13:$D106))*$B107/12,0)</f>
        <v>-164534.7999787257</v>
      </c>
      <c r="F107" s="48">
        <f t="shared" si="4"/>
        <v>-169730.53509148816</v>
      </c>
      <c r="G107" s="48">
        <f>($B$5+SUM($D$13:$D107))</f>
        <v>6803140.8157310588</v>
      </c>
      <c r="K107" s="45">
        <f t="shared" si="5"/>
        <v>3.7999999999999999E-2</v>
      </c>
      <c r="L107" s="46">
        <v>95</v>
      </c>
      <c r="M107" s="5">
        <f t="shared" si="6"/>
        <v>-127929.4243647845</v>
      </c>
      <c r="N107" s="48">
        <f>PPMT($K107/12,1,$C$5-L107+1,$B$5+SUM($N$13:N106),0)</f>
        <v>-26346.094937790123</v>
      </c>
      <c r="O107" s="48">
        <f>-($B$5+SUM($N$13:$N106))*$K107/12</f>
        <v>-15455.015788913543</v>
      </c>
      <c r="P107" s="48">
        <f t="shared" si="7"/>
        <v>-41801.110726703664</v>
      </c>
      <c r="Q107" s="48">
        <f>($B$5+SUM($D$13:$D107))</f>
        <v>6803140.8157310588</v>
      </c>
    </row>
    <row r="108" spans="2:17">
      <c r="B108" s="45">
        <f>'Ипотечный калькулятор'!$C$21</f>
        <v>0.29000000000000004</v>
      </c>
      <c r="C108" s="47">
        <v>96</v>
      </c>
      <c r="D108" s="48">
        <f>PPMT($B108/12,1,$C$5-C108+1,$B$5+SUM($D$13:D107),0)</f>
        <v>-5321.2987113208974</v>
      </c>
      <c r="E108" s="48">
        <f>IFERROR(-($B$5+SUM($D$13:$D107))*$B108/12,0)</f>
        <v>-164409.23638016728</v>
      </c>
      <c r="F108" s="48">
        <f t="shared" si="4"/>
        <v>-169730.53509148819</v>
      </c>
      <c r="G108" s="48">
        <f>($B$5+SUM($D$13:$D108))</f>
        <v>6797819.5170197375</v>
      </c>
      <c r="K108" s="45">
        <f t="shared" si="5"/>
        <v>3.7999999999999999E-2</v>
      </c>
      <c r="L108" s="47">
        <v>96</v>
      </c>
      <c r="M108" s="5">
        <f t="shared" si="6"/>
        <v>-127929.42436478451</v>
      </c>
      <c r="N108" s="48">
        <f>PPMT($K108/12,1,$C$5-L108+1,$B$5+SUM($N$13:N107),0)</f>
        <v>-26429.524238426467</v>
      </c>
      <c r="O108" s="48">
        <f>-($B$5+SUM($N$13:$N107))*$K108/12</f>
        <v>-15371.586488277206</v>
      </c>
      <c r="P108" s="48">
        <f t="shared" si="7"/>
        <v>-41801.110726703671</v>
      </c>
      <c r="Q108" s="48">
        <f>($B$5+SUM($D$13:$D108))</f>
        <v>6797819.5170197375</v>
      </c>
    </row>
    <row r="109" spans="2:17">
      <c r="B109" s="45">
        <f>'Ипотечный калькулятор'!$C$21</f>
        <v>0.29000000000000004</v>
      </c>
      <c r="C109" s="46">
        <v>97</v>
      </c>
      <c r="D109" s="48">
        <f>PPMT($B109/12,1,$C$5-C109+1,$B$5+SUM($D$13:D108),0)</f>
        <v>-5449.8967635111512</v>
      </c>
      <c r="E109" s="48">
        <f>IFERROR(-($B$5+SUM($D$13:$D108))*$B109/12,0)</f>
        <v>-164280.63832797701</v>
      </c>
      <c r="F109" s="48">
        <f t="shared" si="4"/>
        <v>-169730.53509148816</v>
      </c>
      <c r="G109" s="48">
        <f>($B$5+SUM($D$13:$D109))</f>
        <v>6792369.6202562265</v>
      </c>
      <c r="K109" s="45">
        <f t="shared" si="5"/>
        <v>3.7999999999999999E-2</v>
      </c>
      <c r="L109" s="46">
        <v>97</v>
      </c>
      <c r="M109" s="5">
        <f t="shared" si="6"/>
        <v>-127929.42436478449</v>
      </c>
      <c r="N109" s="48">
        <f>PPMT($K109/12,1,$C$5-L109+1,$B$5+SUM($N$13:N108),0)</f>
        <v>-26513.217731848148</v>
      </c>
      <c r="O109" s="48">
        <f>-($B$5+SUM($N$13:$N108))*$K109/12</f>
        <v>-15287.892994855523</v>
      </c>
      <c r="P109" s="48">
        <f t="shared" si="7"/>
        <v>-41801.110726703671</v>
      </c>
      <c r="Q109" s="48">
        <f>($B$5+SUM($D$13:$D109))</f>
        <v>6792369.6202562265</v>
      </c>
    </row>
    <row r="110" spans="2:17">
      <c r="B110" s="45">
        <f>'Ипотечный калькулятор'!$C$21</f>
        <v>0.29000000000000004</v>
      </c>
      <c r="C110" s="47">
        <v>98</v>
      </c>
      <c r="D110" s="48">
        <f>PPMT($B110/12,1,$C$5-C110+1,$B$5+SUM($D$13:D109),0)</f>
        <v>-5581.6026019626725</v>
      </c>
      <c r="E110" s="48">
        <f>IFERROR(-($B$5+SUM($D$13:$D109))*$B110/12,0)</f>
        <v>-164148.9324895255</v>
      </c>
      <c r="F110" s="48">
        <f t="shared" si="4"/>
        <v>-169730.53509148816</v>
      </c>
      <c r="G110" s="48">
        <f>($B$5+SUM($D$13:$D110))</f>
        <v>6786788.0176542643</v>
      </c>
      <c r="K110" s="45">
        <f t="shared" si="5"/>
        <v>3.7999999999999999E-2</v>
      </c>
      <c r="L110" s="47">
        <v>98</v>
      </c>
      <c r="M110" s="5">
        <f t="shared" si="6"/>
        <v>-127929.42436478449</v>
      </c>
      <c r="N110" s="48">
        <f>PPMT($K110/12,1,$C$5-L110+1,$B$5+SUM($N$13:N109),0)</f>
        <v>-26597.176254665665</v>
      </c>
      <c r="O110" s="48">
        <f>-($B$5+SUM($N$13:$N109))*$K110/12</f>
        <v>-15203.934472038003</v>
      </c>
      <c r="P110" s="48">
        <f t="shared" si="7"/>
        <v>-41801.110726703671</v>
      </c>
      <c r="Q110" s="48">
        <f>($B$5+SUM($D$13:$D110))</f>
        <v>6786788.0176542643</v>
      </c>
    </row>
    <row r="111" spans="2:17">
      <c r="B111" s="45">
        <f>'Ипотечный калькулятор'!$C$21</f>
        <v>0.29000000000000004</v>
      </c>
      <c r="C111" s="46">
        <v>99</v>
      </c>
      <c r="D111" s="48">
        <f>PPMT($B111/12,1,$C$5-C111+1,$B$5+SUM($D$13:D110),0)</f>
        <v>-5716.4913315101048</v>
      </c>
      <c r="E111" s="48">
        <f>IFERROR(-($B$5+SUM($D$13:$D110))*$B111/12,0)</f>
        <v>-164014.04375997806</v>
      </c>
      <c r="F111" s="48">
        <f t="shared" si="4"/>
        <v>-169730.53509148816</v>
      </c>
      <c r="G111" s="48">
        <f>($B$5+SUM($D$13:$D111))</f>
        <v>6781071.5263227541</v>
      </c>
      <c r="K111" s="45">
        <f t="shared" si="5"/>
        <v>3.7999999999999999E-2</v>
      </c>
      <c r="L111" s="46">
        <v>99</v>
      </c>
      <c r="M111" s="5">
        <f t="shared" si="6"/>
        <v>-127929.42436478449</v>
      </c>
      <c r="N111" s="48">
        <f>PPMT($K111/12,1,$C$5-L111+1,$B$5+SUM($N$13:N110),0)</f>
        <v>-26681.400646138776</v>
      </c>
      <c r="O111" s="48">
        <f>-($B$5+SUM($N$13:$N110))*$K111/12</f>
        <v>-15119.710080564895</v>
      </c>
      <c r="P111" s="48">
        <f t="shared" si="7"/>
        <v>-41801.110726703671</v>
      </c>
      <c r="Q111" s="48">
        <f>($B$5+SUM($D$13:$D111))</f>
        <v>6781071.5263227541</v>
      </c>
    </row>
    <row r="112" spans="2:17">
      <c r="B112" s="45">
        <f>'Ипотечный калькулятор'!$C$21</f>
        <v>0.29000000000000004</v>
      </c>
      <c r="C112" s="47">
        <v>100</v>
      </c>
      <c r="D112" s="48">
        <f>PPMT($B112/12,1,$C$5-C112+1,$B$5+SUM($D$13:D111),0)</f>
        <v>-5854.6398720215984</v>
      </c>
      <c r="E112" s="48">
        <f>IFERROR(-($B$5+SUM($D$13:$D111))*$B112/12,0)</f>
        <v>-163875.89521946656</v>
      </c>
      <c r="F112" s="48">
        <f t="shared" si="4"/>
        <v>-169730.53509148816</v>
      </c>
      <c r="G112" s="48">
        <f>($B$5+SUM($D$13:$D112))</f>
        <v>6775216.8864507321</v>
      </c>
      <c r="K112" s="45">
        <f t="shared" si="5"/>
        <v>3.7999999999999999E-2</v>
      </c>
      <c r="L112" s="47">
        <v>100</v>
      </c>
      <c r="M112" s="5">
        <f t="shared" si="6"/>
        <v>-127929.4243647845</v>
      </c>
      <c r="N112" s="48">
        <f>PPMT($K112/12,1,$C$5-L112+1,$B$5+SUM($N$13:N111),0)</f>
        <v>-26765.891748184873</v>
      </c>
      <c r="O112" s="48">
        <f>-($B$5+SUM($N$13:$N111))*$K112/12</f>
        <v>-15035.218978518789</v>
      </c>
      <c r="P112" s="48">
        <f t="shared" si="7"/>
        <v>-41801.110726703664</v>
      </c>
      <c r="Q112" s="48">
        <f>($B$5+SUM($D$13:$D112))</f>
        <v>6775216.8864507321</v>
      </c>
    </row>
    <row r="113" spans="2:17">
      <c r="B113" s="45">
        <f>'Ипотечный калькулятор'!$C$21</f>
        <v>0.29000000000000004</v>
      </c>
      <c r="C113" s="46">
        <v>101</v>
      </c>
      <c r="D113" s="48">
        <f>PPMT($B113/12,1,$C$5-C113+1,$B$5+SUM($D$13:D112),0)</f>
        <v>-5996.1270022621193</v>
      </c>
      <c r="E113" s="48">
        <f>IFERROR(-($B$5+SUM($D$13:$D112))*$B113/12,0)</f>
        <v>-163734.40808922605</v>
      </c>
      <c r="F113" s="48">
        <f t="shared" si="4"/>
        <v>-169730.53509148819</v>
      </c>
      <c r="G113" s="48">
        <f>($B$5+SUM($D$13:$D113))</f>
        <v>6769220.7594484705</v>
      </c>
      <c r="K113" s="45">
        <f t="shared" si="5"/>
        <v>3.7999999999999999E-2</v>
      </c>
      <c r="L113" s="46">
        <v>101</v>
      </c>
      <c r="M113" s="5">
        <f t="shared" si="6"/>
        <v>-127929.42436478451</v>
      </c>
      <c r="N113" s="48">
        <f>PPMT($K113/12,1,$C$5-L113+1,$B$5+SUM($N$13:N112),0)</f>
        <v>-26850.650405387467</v>
      </c>
      <c r="O113" s="48">
        <f>-($B$5+SUM($N$13:$N112))*$K113/12</f>
        <v>-14950.460321316204</v>
      </c>
      <c r="P113" s="48">
        <f t="shared" si="7"/>
        <v>-41801.110726703671</v>
      </c>
      <c r="Q113" s="48">
        <f>($B$5+SUM($D$13:$D113))</f>
        <v>6769220.7594484705</v>
      </c>
    </row>
    <row r="114" spans="2:17">
      <c r="B114" s="45">
        <f>'Ипотечный калькулятор'!$C$21</f>
        <v>0.29000000000000004</v>
      </c>
      <c r="C114" s="47">
        <v>102</v>
      </c>
      <c r="D114" s="48">
        <f>PPMT($B114/12,1,$C$5-C114+1,$B$5+SUM($D$13:D113),0)</f>
        <v>-6141.0334048167879</v>
      </c>
      <c r="E114" s="48">
        <f>IFERROR(-($B$5+SUM($D$13:$D113))*$B114/12,0)</f>
        <v>-163589.5016866714</v>
      </c>
      <c r="F114" s="48">
        <f t="shared" si="4"/>
        <v>-169730.53509148819</v>
      </c>
      <c r="G114" s="48">
        <f>($B$5+SUM($D$13:$D114))</f>
        <v>6763079.7260436537</v>
      </c>
      <c r="K114" s="45">
        <f t="shared" si="5"/>
        <v>3.7999999999999999E-2</v>
      </c>
      <c r="L114" s="47">
        <v>102</v>
      </c>
      <c r="M114" s="5">
        <f t="shared" si="6"/>
        <v>-127929.42436478453</v>
      </c>
      <c r="N114" s="48">
        <f>PPMT($K114/12,1,$C$5-L114+1,$B$5+SUM($N$13:N113),0)</f>
        <v>-26935.677465004519</v>
      </c>
      <c r="O114" s="48">
        <f>-($B$5+SUM($N$13:$N113))*$K114/12</f>
        <v>-14865.433261699143</v>
      </c>
      <c r="P114" s="48">
        <f t="shared" si="7"/>
        <v>-41801.110726703664</v>
      </c>
      <c r="Q114" s="48">
        <f>($B$5+SUM($D$13:$D114))</f>
        <v>6763079.7260436537</v>
      </c>
    </row>
    <row r="115" spans="2:17">
      <c r="B115" s="45">
        <f>'Ипотечный калькулятор'!$C$21</f>
        <v>0.29000000000000004</v>
      </c>
      <c r="C115" s="46">
        <v>103</v>
      </c>
      <c r="D115" s="48">
        <f>PPMT($B115/12,1,$C$5-C115+1,$B$5+SUM($D$13:D114),0)</f>
        <v>-6289.4417120998596</v>
      </c>
      <c r="E115" s="48">
        <f>IFERROR(-($B$5+SUM($D$13:$D114))*$B115/12,0)</f>
        <v>-163441.0933793883</v>
      </c>
      <c r="F115" s="48">
        <f t="shared" si="4"/>
        <v>-169730.53509148816</v>
      </c>
      <c r="G115" s="48">
        <f>($B$5+SUM($D$13:$D115))</f>
        <v>6756790.2843315536</v>
      </c>
      <c r="K115" s="45">
        <f t="shared" si="5"/>
        <v>3.7999999999999999E-2</v>
      </c>
      <c r="L115" s="46">
        <v>103</v>
      </c>
      <c r="M115" s="5">
        <f t="shared" si="6"/>
        <v>-127929.42436478449</v>
      </c>
      <c r="N115" s="48">
        <f>PPMT($K115/12,1,$C$5-L115+1,$B$5+SUM($N$13:N114),0)</f>
        <v>-27020.97377697704</v>
      </c>
      <c r="O115" s="48">
        <f>-($B$5+SUM($N$13:$N114))*$K115/12</f>
        <v>-14780.13694972663</v>
      </c>
      <c r="P115" s="48">
        <f t="shared" si="7"/>
        <v>-41801.110726703671</v>
      </c>
      <c r="Q115" s="48">
        <f>($B$5+SUM($D$13:$D115))</f>
        <v>6756790.2843315536</v>
      </c>
    </row>
    <row r="116" spans="2:17">
      <c r="B116" s="45">
        <f>'Ипотечный калькулятор'!$C$21</f>
        <v>0.29000000000000004</v>
      </c>
      <c r="C116" s="47">
        <v>104</v>
      </c>
      <c r="D116" s="48">
        <f>PPMT($B116/12,1,$C$5-C116+1,$B$5+SUM($D$13:D115),0)</f>
        <v>-6441.4365534756062</v>
      </c>
      <c r="E116" s="48">
        <f>IFERROR(-($B$5+SUM($D$13:$D115))*$B116/12,0)</f>
        <v>-163289.09853801256</v>
      </c>
      <c r="F116" s="48">
        <f t="shared" si="4"/>
        <v>-169730.53509148816</v>
      </c>
      <c r="G116" s="48">
        <f>($B$5+SUM($D$13:$D116))</f>
        <v>6750348.8477780782</v>
      </c>
      <c r="K116" s="45">
        <f t="shared" si="5"/>
        <v>3.7999999999999999E-2</v>
      </c>
      <c r="L116" s="47">
        <v>104</v>
      </c>
      <c r="M116" s="5">
        <f t="shared" si="6"/>
        <v>-127929.42436478449</v>
      </c>
      <c r="N116" s="48">
        <f>PPMT($K116/12,1,$C$5-L116+1,$B$5+SUM($N$13:N115),0)</f>
        <v>-27106.540193937468</v>
      </c>
      <c r="O116" s="48">
        <f>-($B$5+SUM($N$13:$N115))*$K116/12</f>
        <v>-14694.570532766205</v>
      </c>
      <c r="P116" s="48">
        <f t="shared" si="7"/>
        <v>-41801.110726703671</v>
      </c>
      <c r="Q116" s="48">
        <f>($B$5+SUM($D$13:$D116))</f>
        <v>6750348.8477780782</v>
      </c>
    </row>
    <row r="117" spans="2:17">
      <c r="B117" s="45">
        <f>'Ипотечный калькулятор'!$C$21</f>
        <v>0.29000000000000004</v>
      </c>
      <c r="C117" s="46">
        <v>105</v>
      </c>
      <c r="D117" s="48">
        <f>PPMT($B117/12,1,$C$5-C117+1,$B$5+SUM($D$13:D116),0)</f>
        <v>-6597.1046035179343</v>
      </c>
      <c r="E117" s="48">
        <f>IFERROR(-($B$5+SUM($D$13:$D116))*$B117/12,0)</f>
        <v>-163133.43048797024</v>
      </c>
      <c r="F117" s="48">
        <f t="shared" si="4"/>
        <v>-169730.53509148819</v>
      </c>
      <c r="G117" s="48">
        <f>($B$5+SUM($D$13:$D117))</f>
        <v>6743751.7431745604</v>
      </c>
      <c r="K117" s="45">
        <f t="shared" si="5"/>
        <v>3.7999999999999999E-2</v>
      </c>
      <c r="L117" s="46">
        <v>105</v>
      </c>
      <c r="M117" s="5">
        <f t="shared" si="6"/>
        <v>-127929.42436478451</v>
      </c>
      <c r="N117" s="48">
        <f>PPMT($K117/12,1,$C$5-L117+1,$B$5+SUM($N$13:N116),0)</f>
        <v>-27192.377571218272</v>
      </c>
      <c r="O117" s="48">
        <f>-($B$5+SUM($N$13:$N116))*$K117/12</f>
        <v>-14608.733155485401</v>
      </c>
      <c r="P117" s="48">
        <f t="shared" si="7"/>
        <v>-41801.110726703671</v>
      </c>
      <c r="Q117" s="48">
        <f>($B$5+SUM($D$13:$D117))</f>
        <v>6743751.7431745604</v>
      </c>
    </row>
    <row r="118" spans="2:17">
      <c r="B118" s="45">
        <f>'Ипотечный калькулятор'!$C$21</f>
        <v>0.29000000000000004</v>
      </c>
      <c r="C118" s="47">
        <v>106</v>
      </c>
      <c r="D118" s="48">
        <f>PPMT($B118/12,1,$C$5-C118+1,$B$5+SUM($D$13:D117),0)</f>
        <v>-6756.5346314362832</v>
      </c>
      <c r="E118" s="48">
        <f>IFERROR(-($B$5+SUM($D$13:$D117))*$B118/12,0)</f>
        <v>-162974.0004600519</v>
      </c>
      <c r="F118" s="48">
        <f t="shared" si="4"/>
        <v>-169730.53509148819</v>
      </c>
      <c r="G118" s="48">
        <f>($B$5+SUM($D$13:$D118))</f>
        <v>6736995.2085431237</v>
      </c>
      <c r="K118" s="45">
        <f t="shared" si="5"/>
        <v>3.7999999999999999E-2</v>
      </c>
      <c r="L118" s="47">
        <v>106</v>
      </c>
      <c r="M118" s="5">
        <f t="shared" si="6"/>
        <v>-127929.4243647845</v>
      </c>
      <c r="N118" s="48">
        <f>PPMT($K118/12,1,$C$5-L118+1,$B$5+SUM($N$13:N117),0)</f>
        <v>-27278.486766860467</v>
      </c>
      <c r="O118" s="48">
        <f>-($B$5+SUM($N$13:$N117))*$K118/12</f>
        <v>-14522.623959843213</v>
      </c>
      <c r="P118" s="48">
        <f t="shared" si="7"/>
        <v>-41801.110726703679</v>
      </c>
      <c r="Q118" s="48">
        <f>($B$5+SUM($D$13:$D118))</f>
        <v>6736995.2085431237</v>
      </c>
    </row>
    <row r="119" spans="2:17">
      <c r="B119" s="45">
        <f>'Ипотечный калькулятор'!$C$21</f>
        <v>0.29000000000000004</v>
      </c>
      <c r="C119" s="46">
        <v>107</v>
      </c>
      <c r="D119" s="48">
        <f>PPMT($B119/12,1,$C$5-C119+1,$B$5+SUM($D$13:D118),0)</f>
        <v>-6919.8175516959936</v>
      </c>
      <c r="E119" s="48">
        <f>IFERROR(-($B$5+SUM($D$13:$D118))*$B119/12,0)</f>
        <v>-162810.71753979218</v>
      </c>
      <c r="F119" s="48">
        <f t="shared" si="4"/>
        <v>-169730.53509148819</v>
      </c>
      <c r="G119" s="48">
        <f>($B$5+SUM($D$13:$D119))</f>
        <v>6730075.3909914279</v>
      </c>
      <c r="K119" s="45">
        <f t="shared" si="5"/>
        <v>3.7999999999999999E-2</v>
      </c>
      <c r="L119" s="46">
        <v>107</v>
      </c>
      <c r="M119" s="5">
        <f t="shared" si="6"/>
        <v>-127929.42436478451</v>
      </c>
      <c r="N119" s="48">
        <f>PPMT($K119/12,1,$C$5-L119+1,$B$5+SUM($N$13:N118),0)</f>
        <v>-27364.868641622183</v>
      </c>
      <c r="O119" s="48">
        <f>-($B$5+SUM($N$13:$N118))*$K119/12</f>
        <v>-14436.242085081487</v>
      </c>
      <c r="P119" s="48">
        <f t="shared" si="7"/>
        <v>-41801.110726703671</v>
      </c>
      <c r="Q119" s="48">
        <f>($B$5+SUM($D$13:$D119))</f>
        <v>6730075.3909914279</v>
      </c>
    </row>
    <row r="120" spans="2:17">
      <c r="B120" s="45">
        <f>'Ипотечный калькулятор'!$C$21</f>
        <v>0.29000000000000004</v>
      </c>
      <c r="C120" s="47">
        <v>108</v>
      </c>
      <c r="D120" s="48">
        <f>PPMT($B120/12,1,$C$5-C120+1,$B$5+SUM($D$13:D119),0)</f>
        <v>-7087.046475861981</v>
      </c>
      <c r="E120" s="48">
        <f>IFERROR(-($B$5+SUM($D$13:$D119))*$B120/12,0)</f>
        <v>-162643.48861562621</v>
      </c>
      <c r="F120" s="48">
        <f t="shared" si="4"/>
        <v>-169730.53509148819</v>
      </c>
      <c r="G120" s="48">
        <f>($B$5+SUM($D$13:$D120))</f>
        <v>6722988.3445155658</v>
      </c>
      <c r="K120" s="45">
        <f t="shared" si="5"/>
        <v>3.7999999999999999E-2</v>
      </c>
      <c r="L120" s="47">
        <v>108</v>
      </c>
      <c r="M120" s="5">
        <f t="shared" si="6"/>
        <v>-127929.42436478451</v>
      </c>
      <c r="N120" s="48">
        <f>PPMT($K120/12,1,$C$5-L120+1,$B$5+SUM($N$13:N119),0)</f>
        <v>-27451.524058987321</v>
      </c>
      <c r="O120" s="48">
        <f>-($B$5+SUM($N$13:$N119))*$K120/12</f>
        <v>-14349.586667716349</v>
      </c>
      <c r="P120" s="48">
        <f t="shared" si="7"/>
        <v>-41801.110726703671</v>
      </c>
      <c r="Q120" s="48">
        <f>($B$5+SUM($D$13:$D120))</f>
        <v>6722988.3445155658</v>
      </c>
    </row>
    <row r="121" spans="2:17">
      <c r="B121" s="45">
        <f>'Ипотечный калькулятор'!$C$21</f>
        <v>0.29000000000000004</v>
      </c>
      <c r="C121" s="46">
        <v>109</v>
      </c>
      <c r="D121" s="48">
        <f>PPMT($B121/12,1,$C$5-C121+1,$B$5+SUM($D$13:D120),0)</f>
        <v>-7258.3167656953128</v>
      </c>
      <c r="E121" s="48">
        <f>IFERROR(-($B$5+SUM($D$13:$D120))*$B121/12,0)</f>
        <v>-162472.21832579284</v>
      </c>
      <c r="F121" s="48">
        <f t="shared" si="4"/>
        <v>-169730.53509148816</v>
      </c>
      <c r="G121" s="48">
        <f>($B$5+SUM($D$13:$D121))</f>
        <v>6715730.02774987</v>
      </c>
      <c r="K121" s="45">
        <f t="shared" si="5"/>
        <v>3.7999999999999999E-2</v>
      </c>
      <c r="L121" s="46">
        <v>109</v>
      </c>
      <c r="M121" s="5">
        <f t="shared" si="6"/>
        <v>-127929.42436478449</v>
      </c>
      <c r="N121" s="48">
        <f>PPMT($K121/12,1,$C$5-L121+1,$B$5+SUM($N$13:N120),0)</f>
        <v>-27538.453885174116</v>
      </c>
      <c r="O121" s="48">
        <f>-($B$5+SUM($N$13:$N120))*$K121/12</f>
        <v>-14262.656841529555</v>
      </c>
      <c r="P121" s="48">
        <f t="shared" si="7"/>
        <v>-41801.110726703671</v>
      </c>
      <c r="Q121" s="48">
        <f>($B$5+SUM($D$13:$D121))</f>
        <v>6715730.02774987</v>
      </c>
    </row>
    <row r="122" spans="2:17">
      <c r="B122" s="45">
        <f>'Ипотечный калькулятор'!$C$21</f>
        <v>0.29000000000000004</v>
      </c>
      <c r="C122" s="47">
        <v>110</v>
      </c>
      <c r="D122" s="48">
        <f>PPMT($B122/12,1,$C$5-C122+1,$B$5+SUM($D$13:D121),0)</f>
        <v>-7433.7260875329484</v>
      </c>
      <c r="E122" s="48">
        <f>IFERROR(-($B$5+SUM($D$13:$D121))*$B122/12,0)</f>
        <v>-162296.80900395522</v>
      </c>
      <c r="F122" s="48">
        <f t="shared" si="4"/>
        <v>-169730.53509148816</v>
      </c>
      <c r="G122" s="48">
        <f>($B$5+SUM($D$13:$D122))</f>
        <v>6708296.301662337</v>
      </c>
      <c r="K122" s="45">
        <f t="shared" si="5"/>
        <v>3.7999999999999999E-2</v>
      </c>
      <c r="L122" s="47">
        <v>110</v>
      </c>
      <c r="M122" s="5">
        <f t="shared" si="6"/>
        <v>-127929.42436478447</v>
      </c>
      <c r="N122" s="48">
        <f>PPMT($K122/12,1,$C$5-L122+1,$B$5+SUM($N$13:N121),0)</f>
        <v>-27625.658989143838</v>
      </c>
      <c r="O122" s="48">
        <f>-($B$5+SUM($N$13:$N121))*$K122/12</f>
        <v>-14175.451737559839</v>
      </c>
      <c r="P122" s="48">
        <f t="shared" si="7"/>
        <v>-41801.110726703679</v>
      </c>
      <c r="Q122" s="48">
        <f>($B$5+SUM($D$13:$D122))</f>
        <v>6708296.301662337</v>
      </c>
    </row>
    <row r="123" spans="2:17">
      <c r="B123" s="45">
        <f>'Ипотечный калькулятор'!$C$21</f>
        <v>0.29000000000000004</v>
      </c>
      <c r="C123" s="46">
        <v>111</v>
      </c>
      <c r="D123" s="48">
        <f>PPMT($B123/12,1,$C$5-C123+1,$B$5+SUM($D$13:D122),0)</f>
        <v>-7613.3744679816609</v>
      </c>
      <c r="E123" s="48">
        <f>IFERROR(-($B$5+SUM($D$13:$D122))*$B123/12,0)</f>
        <v>-162117.1606235065</v>
      </c>
      <c r="F123" s="48">
        <f t="shared" si="4"/>
        <v>-169730.53509148816</v>
      </c>
      <c r="G123" s="48">
        <f>($B$5+SUM($D$13:$D123))</f>
        <v>6700682.927194356</v>
      </c>
      <c r="K123" s="45">
        <f t="shared" si="5"/>
        <v>3.7999999999999999E-2</v>
      </c>
      <c r="L123" s="46">
        <v>111</v>
      </c>
      <c r="M123" s="5">
        <f t="shared" si="6"/>
        <v>-127929.42436478449</v>
      </c>
      <c r="N123" s="48">
        <f>PPMT($K123/12,1,$C$5-L123+1,$B$5+SUM($N$13:N122),0)</f>
        <v>-27713.140242609457</v>
      </c>
      <c r="O123" s="48">
        <f>-($B$5+SUM($N$13:$N122))*$K123/12</f>
        <v>-14087.970484094214</v>
      </c>
      <c r="P123" s="48">
        <f t="shared" si="7"/>
        <v>-41801.110726703671</v>
      </c>
      <c r="Q123" s="48">
        <f>($B$5+SUM($D$13:$D123))</f>
        <v>6700682.927194356</v>
      </c>
    </row>
    <row r="124" spans="2:17">
      <c r="B124" s="45">
        <f>'Ипотечный калькулятор'!$C$21</f>
        <v>0.29000000000000004</v>
      </c>
      <c r="C124" s="47">
        <v>112</v>
      </c>
      <c r="D124" s="48">
        <f>PPMT($B124/12,1,$C$5-C124+1,$B$5+SUM($D$13:D123),0)</f>
        <v>-7797.3643509578851</v>
      </c>
      <c r="E124" s="48">
        <f>IFERROR(-($B$5+SUM($D$13:$D123))*$B124/12,0)</f>
        <v>-161933.17074053027</v>
      </c>
      <c r="F124" s="48">
        <f t="shared" si="4"/>
        <v>-169730.53509148816</v>
      </c>
      <c r="G124" s="48">
        <f>($B$5+SUM($D$13:$D124))</f>
        <v>6692885.5628433982</v>
      </c>
      <c r="K124" s="45">
        <f t="shared" si="5"/>
        <v>3.7999999999999999E-2</v>
      </c>
      <c r="L124" s="47">
        <v>112</v>
      </c>
      <c r="M124" s="5">
        <f t="shared" si="6"/>
        <v>-127929.4243647845</v>
      </c>
      <c r="N124" s="48">
        <f>PPMT($K124/12,1,$C$5-L124+1,$B$5+SUM($N$13:N123),0)</f>
        <v>-27800.898520044382</v>
      </c>
      <c r="O124" s="48">
        <f>-($B$5+SUM($N$13:$N123))*$K124/12</f>
        <v>-14000.212206659284</v>
      </c>
      <c r="P124" s="48">
        <f t="shared" si="7"/>
        <v>-41801.110726703664</v>
      </c>
      <c r="Q124" s="48">
        <f>($B$5+SUM($D$13:$D124))</f>
        <v>6692885.5628433982</v>
      </c>
    </row>
    <row r="125" spans="2:17">
      <c r="B125" s="45">
        <f>'Ипотечный калькулятор'!$C$21</f>
        <v>0.29000000000000004</v>
      </c>
      <c r="C125" s="46">
        <v>113</v>
      </c>
      <c r="D125" s="48">
        <f>PPMT($B125/12,1,$C$5-C125+1,$B$5+SUM($D$13:D124),0)</f>
        <v>-7985.8006561060347</v>
      </c>
      <c r="E125" s="48">
        <f>IFERROR(-($B$5+SUM($D$13:$D124))*$B125/12,0)</f>
        <v>-161744.73443538215</v>
      </c>
      <c r="F125" s="48">
        <f t="shared" si="4"/>
        <v>-169730.53509148819</v>
      </c>
      <c r="G125" s="48">
        <f>($B$5+SUM($D$13:$D125))</f>
        <v>6684899.7621872919</v>
      </c>
      <c r="K125" s="45">
        <f t="shared" si="5"/>
        <v>3.7999999999999999E-2</v>
      </c>
      <c r="L125" s="46">
        <v>113</v>
      </c>
      <c r="M125" s="5">
        <f t="shared" si="6"/>
        <v>-127929.42436478451</v>
      </c>
      <c r="N125" s="48">
        <f>PPMT($K125/12,1,$C$5-L125+1,$B$5+SUM($N$13:N124),0)</f>
        <v>-27888.934698691191</v>
      </c>
      <c r="O125" s="48">
        <f>-($B$5+SUM($N$13:$N124))*$K125/12</f>
        <v>-13912.176028012478</v>
      </c>
      <c r="P125" s="48">
        <f t="shared" si="7"/>
        <v>-41801.110726703671</v>
      </c>
      <c r="Q125" s="48">
        <f>($B$5+SUM($D$13:$D125))</f>
        <v>6684899.7621872919</v>
      </c>
    </row>
    <row r="126" spans="2:17">
      <c r="B126" s="45">
        <f>'Ипотечный калькулятор'!$C$21</f>
        <v>0.29000000000000004</v>
      </c>
      <c r="C126" s="47">
        <v>114</v>
      </c>
      <c r="D126" s="48">
        <f>PPMT($B126/12,1,$C$5-C126+1,$B$5+SUM($D$13:D125),0)</f>
        <v>-8178.7908386285972</v>
      </c>
      <c r="E126" s="48">
        <f>IFERROR(-($B$5+SUM($D$13:$D125))*$B126/12,0)</f>
        <v>-161551.74425285959</v>
      </c>
      <c r="F126" s="48">
        <f t="shared" si="4"/>
        <v>-169730.53509148819</v>
      </c>
      <c r="G126" s="48">
        <f>($B$5+SUM($D$13:$D126))</f>
        <v>6676720.9713486629</v>
      </c>
      <c r="K126" s="45">
        <f t="shared" si="5"/>
        <v>3.7999999999999999E-2</v>
      </c>
      <c r="L126" s="47">
        <v>114</v>
      </c>
      <c r="M126" s="5">
        <f t="shared" si="6"/>
        <v>-127929.4243647845</v>
      </c>
      <c r="N126" s="48">
        <f>PPMT($K126/12,1,$C$5-L126+1,$B$5+SUM($N$13:N125),0)</f>
        <v>-27977.249658570388</v>
      </c>
      <c r="O126" s="48">
        <f>-($B$5+SUM($N$13:$N125))*$K126/12</f>
        <v>-13823.861068133288</v>
      </c>
      <c r="P126" s="48">
        <f t="shared" si="7"/>
        <v>-41801.110726703679</v>
      </c>
      <c r="Q126" s="48">
        <f>($B$5+SUM($D$13:$D126))</f>
        <v>6676720.9713486629</v>
      </c>
    </row>
    <row r="127" spans="2:17">
      <c r="B127" s="45">
        <f>'Ипотечный калькулятор'!$C$21</f>
        <v>0.29000000000000004</v>
      </c>
      <c r="C127" s="46">
        <v>115</v>
      </c>
      <c r="D127" s="48">
        <f>PPMT($B127/12,1,$C$5-C127+1,$B$5+SUM($D$13:D126),0)</f>
        <v>-8376.4449505621214</v>
      </c>
      <c r="E127" s="48">
        <f>IFERROR(-($B$5+SUM($D$13:$D126))*$B127/12,0)</f>
        <v>-161354.09014092604</v>
      </c>
      <c r="F127" s="48">
        <f t="shared" si="4"/>
        <v>-169730.53509148816</v>
      </c>
      <c r="G127" s="48">
        <f>($B$5+SUM($D$13:$D127))</f>
        <v>6668344.5263981009</v>
      </c>
      <c r="K127" s="45">
        <f t="shared" si="5"/>
        <v>3.7999999999999999E-2</v>
      </c>
      <c r="L127" s="46">
        <v>115</v>
      </c>
      <c r="M127" s="5">
        <f t="shared" si="6"/>
        <v>-127929.42436478449</v>
      </c>
      <c r="N127" s="48">
        <f>PPMT($K127/12,1,$C$5-L127+1,$B$5+SUM($N$13:N126),0)</f>
        <v>-28065.844282489186</v>
      </c>
      <c r="O127" s="48">
        <f>-($B$5+SUM($N$13:$N126))*$K127/12</f>
        <v>-13735.266444214481</v>
      </c>
      <c r="P127" s="48">
        <f t="shared" si="7"/>
        <v>-41801.110726703671</v>
      </c>
      <c r="Q127" s="48">
        <f>($B$5+SUM($D$13:$D127))</f>
        <v>6668344.5263981009</v>
      </c>
    </row>
    <row r="128" spans="2:17">
      <c r="B128" s="45">
        <f>'Ипотечный калькулятор'!$C$21</f>
        <v>0.29000000000000004</v>
      </c>
      <c r="C128" s="47">
        <v>116</v>
      </c>
      <c r="D128" s="48">
        <f>PPMT($B128/12,1,$C$5-C128+1,$B$5+SUM($D$13:D127),0)</f>
        <v>-8578.8757035340386</v>
      </c>
      <c r="E128" s="48">
        <f>IFERROR(-($B$5+SUM($D$13:$D127))*$B128/12,0)</f>
        <v>-161151.65938795413</v>
      </c>
      <c r="F128" s="48">
        <f t="shared" si="4"/>
        <v>-169730.53509148816</v>
      </c>
      <c r="G128" s="48">
        <f>($B$5+SUM($D$13:$D128))</f>
        <v>6659765.6506945668</v>
      </c>
      <c r="K128" s="45">
        <f t="shared" si="5"/>
        <v>3.7999999999999999E-2</v>
      </c>
      <c r="L128" s="47">
        <v>116</v>
      </c>
      <c r="M128" s="5">
        <f t="shared" si="6"/>
        <v>-127929.42436478449</v>
      </c>
      <c r="N128" s="48">
        <f>PPMT($K128/12,1,$C$5-L128+1,$B$5+SUM($N$13:N127),0)</f>
        <v>-28154.719456050407</v>
      </c>
      <c r="O128" s="48">
        <f>-($B$5+SUM($N$13:$N127))*$K128/12</f>
        <v>-13646.391270653266</v>
      </c>
      <c r="P128" s="48">
        <f t="shared" si="7"/>
        <v>-41801.110726703671</v>
      </c>
      <c r="Q128" s="48">
        <f>($B$5+SUM($D$13:$D128))</f>
        <v>6659765.6506945668</v>
      </c>
    </row>
    <row r="129" spans="2:17">
      <c r="B129" s="45">
        <f>'Ипотечный калькулятор'!$C$21</f>
        <v>0.29000000000000004</v>
      </c>
      <c r="C129" s="46">
        <v>117</v>
      </c>
      <c r="D129" s="48">
        <f>PPMT($B129/12,1,$C$5-C129+1,$B$5+SUM($D$13:D128),0)</f>
        <v>-8786.1985330361113</v>
      </c>
      <c r="E129" s="48">
        <f>IFERROR(-($B$5+SUM($D$13:$D128))*$B129/12,0)</f>
        <v>-160944.33655845205</v>
      </c>
      <c r="F129" s="48">
        <f t="shared" si="4"/>
        <v>-169730.53509148816</v>
      </c>
      <c r="G129" s="48">
        <f>($B$5+SUM($D$13:$D129))</f>
        <v>6650979.452161531</v>
      </c>
      <c r="K129" s="45">
        <f t="shared" si="5"/>
        <v>3.7999999999999999E-2</v>
      </c>
      <c r="L129" s="46">
        <v>117</v>
      </c>
      <c r="M129" s="5">
        <f t="shared" si="6"/>
        <v>-127929.42436478449</v>
      </c>
      <c r="N129" s="48">
        <f>PPMT($K129/12,1,$C$5-L129+1,$B$5+SUM($N$13:N128),0)</f>
        <v>-28243.876067661229</v>
      </c>
      <c r="O129" s="48">
        <f>-($B$5+SUM($N$13:$N128))*$K129/12</f>
        <v>-13557.23465904244</v>
      </c>
      <c r="P129" s="48">
        <f t="shared" si="7"/>
        <v>-41801.110726703671</v>
      </c>
      <c r="Q129" s="48">
        <f>($B$5+SUM($D$13:$D129))</f>
        <v>6650979.452161531</v>
      </c>
    </row>
    <row r="130" spans="2:17">
      <c r="B130" s="45">
        <f>'Ипотечный калькулятор'!$C$21</f>
        <v>0.29000000000000004</v>
      </c>
      <c r="C130" s="47">
        <v>118</v>
      </c>
      <c r="D130" s="48">
        <f>PPMT($B130/12,1,$C$5-C130+1,$B$5+SUM($D$13:D129),0)</f>
        <v>-8998.5316642511498</v>
      </c>
      <c r="E130" s="48">
        <f>IFERROR(-($B$5+SUM($D$13:$D129))*$B130/12,0)</f>
        <v>-160732.00342723701</v>
      </c>
      <c r="F130" s="48">
        <f t="shared" si="4"/>
        <v>-169730.53509148816</v>
      </c>
      <c r="G130" s="48">
        <f>($B$5+SUM($D$13:$D130))</f>
        <v>6641980.9204972796</v>
      </c>
      <c r="K130" s="45">
        <f t="shared" si="5"/>
        <v>3.7999999999999999E-2</v>
      </c>
      <c r="L130" s="47">
        <v>118</v>
      </c>
      <c r="M130" s="5">
        <f t="shared" si="6"/>
        <v>-127929.4243647845</v>
      </c>
      <c r="N130" s="48">
        <f>PPMT($K130/12,1,$C$5-L130+1,$B$5+SUM($N$13:N129),0)</f>
        <v>-28333.315008542155</v>
      </c>
      <c r="O130" s="48">
        <f>-($B$5+SUM($N$13:$N129))*$K130/12</f>
        <v>-13467.795718161511</v>
      </c>
      <c r="P130" s="48">
        <f t="shared" si="7"/>
        <v>-41801.110726703664</v>
      </c>
      <c r="Q130" s="48">
        <f>($B$5+SUM($D$13:$D130))</f>
        <v>6641980.9204972796</v>
      </c>
    </row>
    <row r="131" spans="2:17">
      <c r="B131" s="45">
        <f>'Ипотечный калькулятор'!$C$21</f>
        <v>0.29000000000000004</v>
      </c>
      <c r="C131" s="46">
        <v>119</v>
      </c>
      <c r="D131" s="48">
        <f>PPMT($B131/12,1,$C$5-C131+1,$B$5+SUM($D$13:D130),0)</f>
        <v>-9215.9961794705541</v>
      </c>
      <c r="E131" s="48">
        <f>IFERROR(-($B$5+SUM($D$13:$D130))*$B131/12,0)</f>
        <v>-160514.53891201763</v>
      </c>
      <c r="F131" s="48">
        <f t="shared" si="4"/>
        <v>-169730.53509148819</v>
      </c>
      <c r="G131" s="48">
        <f>($B$5+SUM($D$13:$D131))</f>
        <v>6632764.9243178088</v>
      </c>
      <c r="K131" s="45">
        <f t="shared" si="5"/>
        <v>3.7999999999999999E-2</v>
      </c>
      <c r="L131" s="46">
        <v>119</v>
      </c>
      <c r="M131" s="5">
        <f t="shared" si="6"/>
        <v>-127929.42436478451</v>
      </c>
      <c r="N131" s="48">
        <f>PPMT($K131/12,1,$C$5-L131+1,$B$5+SUM($N$13:N130),0)</f>
        <v>-28423.037172735876</v>
      </c>
      <c r="O131" s="48">
        <f>-($B$5+SUM($N$13:$N130))*$K131/12</f>
        <v>-13378.073553967797</v>
      </c>
      <c r="P131" s="48">
        <f t="shared" si="7"/>
        <v>-41801.110726703671</v>
      </c>
      <c r="Q131" s="48">
        <f>($B$5+SUM($D$13:$D131))</f>
        <v>6632764.9243178088</v>
      </c>
    </row>
    <row r="132" spans="2:17">
      <c r="B132" s="45">
        <f>'Ипотечный калькулятор'!$C$21</f>
        <v>0.29000000000000004</v>
      </c>
      <c r="C132" s="47">
        <v>120</v>
      </c>
      <c r="D132" s="48">
        <f>PPMT($B132/12,1,$C$5-C132+1,$B$5+SUM($D$13:D131),0)</f>
        <v>-9438.7160871410906</v>
      </c>
      <c r="E132" s="48">
        <f>IFERROR(-($B$5+SUM($D$13:$D131))*$B132/12,0)</f>
        <v>-160291.81900434705</v>
      </c>
      <c r="F132" s="48">
        <f t="shared" si="4"/>
        <v>-169730.53509148816</v>
      </c>
      <c r="G132" s="48">
        <f>($B$5+SUM($D$13:$D132))</f>
        <v>6623326.2082306677</v>
      </c>
      <c r="K132" s="45">
        <f t="shared" si="5"/>
        <v>3.7999999999999999E-2</v>
      </c>
      <c r="L132" s="47">
        <v>120</v>
      </c>
      <c r="M132" s="5">
        <f t="shared" si="6"/>
        <v>-127929.42436478449</v>
      </c>
      <c r="N132" s="48">
        <f>PPMT($K132/12,1,$C$5-L132+1,$B$5+SUM($N$13:N131),0)</f>
        <v>-28513.043457116204</v>
      </c>
      <c r="O132" s="48">
        <f>-($B$5+SUM($N$13:$N131))*$K132/12</f>
        <v>-13288.067269587467</v>
      </c>
      <c r="P132" s="48">
        <f t="shared" si="7"/>
        <v>-41801.110726703671</v>
      </c>
      <c r="Q132" s="48">
        <f>($B$5+SUM($D$13:$D132))</f>
        <v>6623326.2082306677</v>
      </c>
    </row>
    <row r="133" spans="2:17">
      <c r="B133" s="45">
        <f>'Ипотечный калькулятор'!$C$21</f>
        <v>0.29000000000000004</v>
      </c>
      <c r="C133" s="46">
        <v>121</v>
      </c>
      <c r="D133" s="48">
        <f>PPMT($B133/12,1,$C$5-C133+1,$B$5+SUM($D$13:D132),0)</f>
        <v>-9666.8183925803351</v>
      </c>
      <c r="E133" s="48">
        <f>IFERROR(-($B$5+SUM($D$13:$D132))*$B133/12,0)</f>
        <v>-160063.71669890781</v>
      </c>
      <c r="F133" s="48">
        <f t="shared" si="4"/>
        <v>-169730.53509148816</v>
      </c>
      <c r="G133" s="48">
        <f>($B$5+SUM($D$13:$D133))</f>
        <v>6613659.3898380883</v>
      </c>
      <c r="K133" s="45">
        <f t="shared" si="5"/>
        <v>3.7999999999999999E-2</v>
      </c>
      <c r="L133" s="46">
        <v>121</v>
      </c>
      <c r="M133" s="5">
        <f t="shared" si="6"/>
        <v>-127929.42436478449</v>
      </c>
      <c r="N133" s="48">
        <f>PPMT($K133/12,1,$C$5-L133+1,$B$5+SUM($N$13:N132),0)</f>
        <v>-28603.334761397073</v>
      </c>
      <c r="O133" s="48">
        <f>-($B$5+SUM($N$13:$N132))*$K133/12</f>
        <v>-13197.7759653066</v>
      </c>
      <c r="P133" s="48">
        <f t="shared" si="7"/>
        <v>-41801.110726703671</v>
      </c>
      <c r="Q133" s="48">
        <f>($B$5+SUM($D$13:$D133))</f>
        <v>6613659.3898380883</v>
      </c>
    </row>
    <row r="134" spans="2:17">
      <c r="B134" s="45">
        <f>'Ипотечный калькулятор'!$C$21</f>
        <v>0.29000000000000004</v>
      </c>
      <c r="C134" s="47">
        <v>122</v>
      </c>
      <c r="D134" s="48">
        <f>PPMT($B134/12,1,$C$5-C134+1,$B$5+SUM($D$13:D133),0)</f>
        <v>-9900.4331704010274</v>
      </c>
      <c r="E134" s="48">
        <f>IFERROR(-($B$5+SUM($D$13:$D133))*$B134/12,0)</f>
        <v>-159830.10192108716</v>
      </c>
      <c r="F134" s="48">
        <f t="shared" si="4"/>
        <v>-169730.53509148819</v>
      </c>
      <c r="G134" s="48">
        <f>($B$5+SUM($D$13:$D134))</f>
        <v>6603758.9566676868</v>
      </c>
      <c r="K134" s="45">
        <f t="shared" si="5"/>
        <v>3.7999999999999999E-2</v>
      </c>
      <c r="L134" s="47">
        <v>122</v>
      </c>
      <c r="M134" s="5">
        <f t="shared" si="6"/>
        <v>-127929.42436478451</v>
      </c>
      <c r="N134" s="48">
        <f>PPMT($K134/12,1,$C$5-L134+1,$B$5+SUM($N$13:N133),0)</f>
        <v>-28693.911988141492</v>
      </c>
      <c r="O134" s="48">
        <f>-($B$5+SUM($N$13:$N133))*$K134/12</f>
        <v>-13107.198738562176</v>
      </c>
      <c r="P134" s="48">
        <f t="shared" si="7"/>
        <v>-41801.110726703671</v>
      </c>
      <c r="Q134" s="48">
        <f>($B$5+SUM($D$13:$D134))</f>
        <v>6603758.9566676868</v>
      </c>
    </row>
    <row r="135" spans="2:17">
      <c r="B135" s="45">
        <f>'Ипотечный калькулятор'!$C$21</f>
        <v>0.29000000000000004</v>
      </c>
      <c r="C135" s="46">
        <v>123</v>
      </c>
      <c r="D135" s="48">
        <f>PPMT($B135/12,1,$C$5-C135+1,$B$5+SUM($D$13:D134),0)</f>
        <v>-10139.693638685718</v>
      </c>
      <c r="E135" s="48">
        <f>IFERROR(-($B$5+SUM($D$13:$D134))*$B135/12,0)</f>
        <v>-159590.84145280244</v>
      </c>
      <c r="F135" s="48">
        <f t="shared" si="4"/>
        <v>-169730.53509148816</v>
      </c>
      <c r="G135" s="48">
        <f>($B$5+SUM($D$13:$D135))</f>
        <v>6593619.2630290007</v>
      </c>
      <c r="K135" s="45">
        <f t="shared" si="5"/>
        <v>3.7999999999999999E-2</v>
      </c>
      <c r="L135" s="46">
        <v>123</v>
      </c>
      <c r="M135" s="5">
        <f t="shared" si="6"/>
        <v>-127929.42436478449</v>
      </c>
      <c r="N135" s="48">
        <f>PPMT($K135/12,1,$C$5-L135+1,$B$5+SUM($N$13:N134),0)</f>
        <v>-28784.776042770613</v>
      </c>
      <c r="O135" s="48">
        <f>-($B$5+SUM($N$13:$N134))*$K135/12</f>
        <v>-13016.334683933061</v>
      </c>
      <c r="P135" s="48">
        <f t="shared" si="7"/>
        <v>-41801.110726703671</v>
      </c>
      <c r="Q135" s="48">
        <f>($B$5+SUM($D$13:$D135))</f>
        <v>6593619.2630290007</v>
      </c>
    </row>
    <row r="136" spans="2:17">
      <c r="B136" s="45">
        <f>'Ипотечный калькулятор'!$C$21</f>
        <v>0.29000000000000004</v>
      </c>
      <c r="C136" s="47">
        <v>124</v>
      </c>
      <c r="D136" s="48">
        <f>PPMT($B136/12,1,$C$5-C136+1,$B$5+SUM($D$13:D135),0)</f>
        <v>-10384.736234953954</v>
      </c>
      <c r="E136" s="48">
        <f>IFERROR(-($B$5+SUM($D$13:$D135))*$B136/12,0)</f>
        <v>-159345.79885653421</v>
      </c>
      <c r="F136" s="48">
        <f t="shared" si="4"/>
        <v>-169730.53509148816</v>
      </c>
      <c r="G136" s="48">
        <f>($B$5+SUM($D$13:$D136))</f>
        <v>6583234.5267940471</v>
      </c>
      <c r="K136" s="45">
        <f t="shared" si="5"/>
        <v>3.7999999999999999E-2</v>
      </c>
      <c r="L136" s="47">
        <v>124</v>
      </c>
      <c r="M136" s="5">
        <f t="shared" si="6"/>
        <v>-127929.42436478447</v>
      </c>
      <c r="N136" s="48">
        <f>PPMT($K136/12,1,$C$5-L136+1,$B$5+SUM($N$13:N135),0)</f>
        <v>-28875.927833572725</v>
      </c>
      <c r="O136" s="48">
        <f>-($B$5+SUM($N$13:$N135))*$K136/12</f>
        <v>-12925.182893130956</v>
      </c>
      <c r="P136" s="48">
        <f t="shared" si="7"/>
        <v>-41801.110726703679</v>
      </c>
      <c r="Q136" s="48">
        <f>($B$5+SUM($D$13:$D136))</f>
        <v>6583234.5267940471</v>
      </c>
    </row>
    <row r="137" spans="2:17">
      <c r="B137" s="45">
        <f>'Ипотечный калькулятор'!$C$21</f>
        <v>0.29000000000000004</v>
      </c>
      <c r="C137" s="46">
        <v>125</v>
      </c>
      <c r="D137" s="48">
        <f>PPMT($B137/12,1,$C$5-C137+1,$B$5+SUM($D$13:D136),0)</f>
        <v>-10635.700693965342</v>
      </c>
      <c r="E137" s="48">
        <f>IFERROR(-($B$5+SUM($D$13:$D136))*$B137/12,0)</f>
        <v>-159094.83439752282</v>
      </c>
      <c r="F137" s="48">
        <f t="shared" si="4"/>
        <v>-169730.53509148816</v>
      </c>
      <c r="G137" s="48">
        <f>($B$5+SUM($D$13:$D137))</f>
        <v>6572598.8261000821</v>
      </c>
      <c r="K137" s="45">
        <f t="shared" si="5"/>
        <v>3.7999999999999999E-2</v>
      </c>
      <c r="L137" s="46">
        <v>125</v>
      </c>
      <c r="M137" s="5">
        <f t="shared" si="6"/>
        <v>-127929.42436478447</v>
      </c>
      <c r="N137" s="48">
        <f>PPMT($K137/12,1,$C$5-L137+1,$B$5+SUM($N$13:N136),0)</f>
        <v>-28967.36827171237</v>
      </c>
      <c r="O137" s="48">
        <f>-($B$5+SUM($N$13:$N136))*$K137/12</f>
        <v>-12833.742454991307</v>
      </c>
      <c r="P137" s="48">
        <f t="shared" si="7"/>
        <v>-41801.110726703679</v>
      </c>
      <c r="Q137" s="48">
        <f>($B$5+SUM($D$13:$D137))</f>
        <v>6572598.8261000821</v>
      </c>
    </row>
    <row r="138" spans="2:17">
      <c r="B138" s="45">
        <f>'Ипотечный калькулятор'!$C$21</f>
        <v>0.29000000000000004</v>
      </c>
      <c r="C138" s="47">
        <v>126</v>
      </c>
      <c r="D138" s="48">
        <f>PPMT($B138/12,1,$C$5-C138+1,$B$5+SUM($D$13:D137),0)</f>
        <v>-10892.730127402838</v>
      </c>
      <c r="E138" s="48">
        <f>IFERROR(-($B$5+SUM($D$13:$D137))*$B138/12,0)</f>
        <v>-158837.80496408534</v>
      </c>
      <c r="F138" s="48">
        <f t="shared" si="4"/>
        <v>-169730.53509148819</v>
      </c>
      <c r="G138" s="48">
        <f>($B$5+SUM($D$13:$D138))</f>
        <v>6561706.0959726786</v>
      </c>
      <c r="K138" s="45">
        <f t="shared" si="5"/>
        <v>3.7999999999999999E-2</v>
      </c>
      <c r="L138" s="47">
        <v>126</v>
      </c>
      <c r="M138" s="5">
        <f t="shared" si="6"/>
        <v>-127929.4243647845</v>
      </c>
      <c r="N138" s="48">
        <f>PPMT($K138/12,1,$C$5-L138+1,$B$5+SUM($N$13:N137),0)</f>
        <v>-29059.098271239465</v>
      </c>
      <c r="O138" s="48">
        <f>-($B$5+SUM($N$13:$N137))*$K138/12</f>
        <v>-12742.012455464219</v>
      </c>
      <c r="P138" s="48">
        <f t="shared" si="7"/>
        <v>-41801.110726703686</v>
      </c>
      <c r="Q138" s="48">
        <f>($B$5+SUM($D$13:$D138))</f>
        <v>6561706.0959726786</v>
      </c>
    </row>
    <row r="139" spans="2:17">
      <c r="B139" s="45">
        <f>'Ипотечный калькулятор'!$C$21</f>
        <v>0.29000000000000004</v>
      </c>
      <c r="C139" s="46">
        <v>127</v>
      </c>
      <c r="D139" s="48">
        <f>PPMT($B139/12,1,$C$5-C139+1,$B$5+SUM($D$13:D138),0)</f>
        <v>-11155.971105481744</v>
      </c>
      <c r="E139" s="48">
        <f>IFERROR(-($B$5+SUM($D$13:$D138))*$B139/12,0)</f>
        <v>-158574.56398600643</v>
      </c>
      <c r="F139" s="48">
        <f t="shared" si="4"/>
        <v>-169730.53509148816</v>
      </c>
      <c r="G139" s="48">
        <f>($B$5+SUM($D$13:$D139))</f>
        <v>6550550.1248671971</v>
      </c>
      <c r="K139" s="45">
        <f t="shared" si="5"/>
        <v>3.7999999999999999E-2</v>
      </c>
      <c r="L139" s="46">
        <v>127</v>
      </c>
      <c r="M139" s="5">
        <f t="shared" si="6"/>
        <v>-127929.42436478449</v>
      </c>
      <c r="N139" s="48">
        <f>PPMT($K139/12,1,$C$5-L139+1,$B$5+SUM($N$13:N138),0)</f>
        <v>-29151.118749098379</v>
      </c>
      <c r="O139" s="48">
        <f>-($B$5+SUM($N$13:$N138))*$K139/12</f>
        <v>-12649.991977605294</v>
      </c>
      <c r="P139" s="48">
        <f t="shared" si="7"/>
        <v>-41801.110726703671</v>
      </c>
      <c r="Q139" s="48">
        <f>($B$5+SUM($D$13:$D139))</f>
        <v>6550550.1248671971</v>
      </c>
    </row>
    <row r="140" spans="2:17">
      <c r="B140" s="45">
        <f>'Ипотечный калькулятор'!$C$21</f>
        <v>0.29000000000000004</v>
      </c>
      <c r="C140" s="47">
        <v>128</v>
      </c>
      <c r="D140" s="48">
        <f>PPMT($B140/12,1,$C$5-C140+1,$B$5+SUM($D$13:D139),0)</f>
        <v>-11425.573740530883</v>
      </c>
      <c r="E140" s="48">
        <f>IFERROR(-($B$5+SUM($D$13:$D139))*$B140/12,0)</f>
        <v>-158304.96135095728</v>
      </c>
      <c r="F140" s="48">
        <f t="shared" si="4"/>
        <v>-169730.53509148816</v>
      </c>
      <c r="G140" s="48">
        <f>($B$5+SUM($D$13:$D140))</f>
        <v>6539124.5511266664</v>
      </c>
      <c r="K140" s="45">
        <f t="shared" si="5"/>
        <v>3.7999999999999999E-2</v>
      </c>
      <c r="L140" s="47">
        <v>128</v>
      </c>
      <c r="M140" s="5">
        <f t="shared" si="6"/>
        <v>-127929.42436478447</v>
      </c>
      <c r="N140" s="48">
        <f>PPMT($K140/12,1,$C$5-L140+1,$B$5+SUM($N$13:N139),0)</f>
        <v>-29243.430625137196</v>
      </c>
      <c r="O140" s="48">
        <f>-($B$5+SUM($N$13:$N139))*$K140/12</f>
        <v>-12557.680101566482</v>
      </c>
      <c r="P140" s="48">
        <f t="shared" si="7"/>
        <v>-41801.110726703679</v>
      </c>
      <c r="Q140" s="48">
        <f>($B$5+SUM($D$13:$D140))</f>
        <v>6539124.5511266664</v>
      </c>
    </row>
    <row r="141" spans="2:17">
      <c r="B141" s="45">
        <f>'Ипотечный калькулятор'!$C$21</f>
        <v>0.29000000000000004</v>
      </c>
      <c r="C141" s="46">
        <v>129</v>
      </c>
      <c r="D141" s="48">
        <f>PPMT($B141/12,1,$C$5-C141+1,$B$5+SUM($D$13:D140),0)</f>
        <v>-11701.691772593715</v>
      </c>
      <c r="E141" s="48">
        <f>IFERROR(-($B$5+SUM($D$13:$D140))*$B141/12,0)</f>
        <v>-158028.84331889445</v>
      </c>
      <c r="F141" s="48">
        <f t="shared" ref="F141:F204" si="8">SUM(D141:E141)</f>
        <v>-169730.53509148816</v>
      </c>
      <c r="G141" s="48">
        <f>($B$5+SUM($D$13:$D141))</f>
        <v>6527422.8593540723</v>
      </c>
      <c r="K141" s="45">
        <f t="shared" si="5"/>
        <v>3.7999999999999999E-2</v>
      </c>
      <c r="L141" s="46">
        <v>129</v>
      </c>
      <c r="M141" s="5">
        <f t="shared" si="6"/>
        <v>-127929.42436478447</v>
      </c>
      <c r="N141" s="48">
        <f>PPMT($K141/12,1,$C$5-L141+1,$B$5+SUM($N$13:N140),0)</f>
        <v>-29336.034822116799</v>
      </c>
      <c r="O141" s="48">
        <f>-($B$5+SUM($N$13:$N140))*$K141/12</f>
        <v>-12465.075904586882</v>
      </c>
      <c r="P141" s="48">
        <f t="shared" si="7"/>
        <v>-41801.110726703679</v>
      </c>
      <c r="Q141" s="48">
        <f>($B$5+SUM($D$13:$D141))</f>
        <v>6527422.8593540723</v>
      </c>
    </row>
    <row r="142" spans="2:17">
      <c r="B142" s="45">
        <f>'Ипотечный калькулятор'!$C$21</f>
        <v>0.29000000000000004</v>
      </c>
      <c r="C142" s="47">
        <v>130</v>
      </c>
      <c r="D142" s="48">
        <f>PPMT($B142/12,1,$C$5-C142+1,$B$5+SUM($D$13:D141),0)</f>
        <v>-11984.482657098062</v>
      </c>
      <c r="E142" s="48">
        <f>IFERROR(-($B$5+SUM($D$13:$D141))*$B142/12,0)</f>
        <v>-157746.05243439009</v>
      </c>
      <c r="F142" s="48">
        <f t="shared" si="8"/>
        <v>-169730.53509148816</v>
      </c>
      <c r="G142" s="48">
        <f>($B$5+SUM($D$13:$D142))</f>
        <v>6515438.376696975</v>
      </c>
      <c r="K142" s="45">
        <f t="shared" ref="K142:K205" si="9">$K$5</f>
        <v>3.7999999999999999E-2</v>
      </c>
      <c r="L142" s="47">
        <v>130</v>
      </c>
      <c r="M142" s="5">
        <f t="shared" si="6"/>
        <v>-127929.42436478447</v>
      </c>
      <c r="N142" s="48">
        <f>PPMT($K142/12,1,$C$5-L142+1,$B$5+SUM($N$13:N141),0)</f>
        <v>-29428.93226572017</v>
      </c>
      <c r="O142" s="48">
        <f>-($B$5+SUM($N$13:$N141))*$K142/12</f>
        <v>-12372.17846098351</v>
      </c>
      <c r="P142" s="48">
        <f t="shared" si="7"/>
        <v>-41801.110726703679</v>
      </c>
      <c r="Q142" s="48">
        <f>($B$5+SUM($D$13:$D142))</f>
        <v>6515438.376696975</v>
      </c>
    </row>
    <row r="143" spans="2:17">
      <c r="B143" s="45">
        <f>'Ипотечный калькулятор'!$C$21</f>
        <v>0.29000000000000004</v>
      </c>
      <c r="C143" s="46">
        <v>131</v>
      </c>
      <c r="D143" s="48">
        <f>PPMT($B143/12,1,$C$5-C143+1,$B$5+SUM($D$13:D142),0)</f>
        <v>-12274.1076546446</v>
      </c>
      <c r="E143" s="48">
        <f>IFERROR(-($B$5+SUM($D$13:$D142))*$B143/12,0)</f>
        <v>-157456.42743684357</v>
      </c>
      <c r="F143" s="48">
        <f t="shared" si="8"/>
        <v>-169730.53509148819</v>
      </c>
      <c r="G143" s="48">
        <f>($B$5+SUM($D$13:$D143))</f>
        <v>6503164.2690423299</v>
      </c>
      <c r="K143" s="45">
        <f t="shared" si="9"/>
        <v>3.7999999999999999E-2</v>
      </c>
      <c r="L143" s="46">
        <v>131</v>
      </c>
      <c r="M143" s="5">
        <f t="shared" ref="M143:M206" si="10">IF(C143-2&lt;$L$5,IFERROR(F143-P143,0),0)</f>
        <v>-127929.4243647845</v>
      </c>
      <c r="N143" s="48">
        <f>PPMT($K143/12,1,$C$5-L143+1,$B$5+SUM($N$13:N142),0)</f>
        <v>-29522.123884561614</v>
      </c>
      <c r="O143" s="48">
        <f>-($B$5+SUM($N$13:$N142))*$K143/12</f>
        <v>-12278.986842142063</v>
      </c>
      <c r="P143" s="48">
        <f t="shared" ref="P143:P206" si="11">SUM(N143:O143)</f>
        <v>-41801.110726703679</v>
      </c>
      <c r="Q143" s="48">
        <f>($B$5+SUM($D$13:$D143))</f>
        <v>6503164.2690423299</v>
      </c>
    </row>
    <row r="144" spans="2:17">
      <c r="B144" s="45">
        <f>'Ипотечный калькулятор'!$C$21</f>
        <v>0.29000000000000004</v>
      </c>
      <c r="C144" s="47">
        <v>132</v>
      </c>
      <c r="D144" s="48">
        <f>PPMT($B144/12,1,$C$5-C144+1,$B$5+SUM($D$13:D143),0)</f>
        <v>-12570.731922965175</v>
      </c>
      <c r="E144" s="48">
        <f>IFERROR(-($B$5+SUM($D$13:$D143))*$B144/12,0)</f>
        <v>-157159.80316852298</v>
      </c>
      <c r="F144" s="48">
        <f t="shared" si="8"/>
        <v>-169730.53509148816</v>
      </c>
      <c r="G144" s="48">
        <f>($B$5+SUM($D$13:$D144))</f>
        <v>6490593.5371193644</v>
      </c>
      <c r="K144" s="45">
        <f t="shared" si="9"/>
        <v>3.7999999999999999E-2</v>
      </c>
      <c r="L144" s="47">
        <v>132</v>
      </c>
      <c r="M144" s="5">
        <f t="shared" si="10"/>
        <v>0</v>
      </c>
      <c r="N144" s="48">
        <f>PPMT($K144/12,1,$C$5-L144+1,$B$5+SUM($N$13:N143),0)</f>
        <v>-29615.610610196058</v>
      </c>
      <c r="O144" s="48">
        <f>-($B$5+SUM($N$13:$N143))*$K144/12</f>
        <v>-12185.500116507619</v>
      </c>
      <c r="P144" s="48">
        <f t="shared" si="11"/>
        <v>-41801.110726703679</v>
      </c>
      <c r="Q144" s="48">
        <f>($B$5+SUM($D$13:$D144))</f>
        <v>6490593.5371193644</v>
      </c>
    </row>
    <row r="145" spans="2:17">
      <c r="B145" s="45">
        <f>'Ипотечный калькулятор'!$C$21</f>
        <v>0.29000000000000004</v>
      </c>
      <c r="C145" s="46">
        <v>133</v>
      </c>
      <c r="D145" s="48">
        <f>PPMT($B145/12,1,$C$5-C145+1,$B$5+SUM($D$13:D144),0)</f>
        <v>-12874.524611103499</v>
      </c>
      <c r="E145" s="48">
        <f>IFERROR(-($B$5+SUM($D$13:$D144))*$B145/12,0)</f>
        <v>-156856.01048038466</v>
      </c>
      <c r="F145" s="48">
        <f t="shared" si="8"/>
        <v>-169730.53509148816</v>
      </c>
      <c r="G145" s="48">
        <f>($B$5+SUM($D$13:$D145))</f>
        <v>6477719.012508261</v>
      </c>
      <c r="K145" s="45">
        <f t="shared" si="9"/>
        <v>3.7999999999999999E-2</v>
      </c>
      <c r="L145" s="46">
        <v>133</v>
      </c>
      <c r="M145" s="5">
        <f t="shared" si="10"/>
        <v>0</v>
      </c>
      <c r="N145" s="48">
        <f>PPMT($K145/12,1,$C$5-L145+1,$B$5+SUM($N$13:N144),0)</f>
        <v>-29709.393377128345</v>
      </c>
      <c r="O145" s="48">
        <f>-($B$5+SUM($N$13:$N144))*$K145/12</f>
        <v>-12091.717349575332</v>
      </c>
      <c r="P145" s="48">
        <f t="shared" si="11"/>
        <v>-41801.110726703679</v>
      </c>
      <c r="Q145" s="48">
        <f>($B$5+SUM($D$13:$D145))</f>
        <v>6477719.012508261</v>
      </c>
    </row>
    <row r="146" spans="2:17">
      <c r="B146" s="45">
        <f>'Ипотечный калькулятор'!$C$21</f>
        <v>0.29000000000000004</v>
      </c>
      <c r="C146" s="47">
        <v>134</v>
      </c>
      <c r="D146" s="48">
        <f>PPMT($B146/12,1,$C$5-C146+1,$B$5+SUM($D$13:D145),0)</f>
        <v>-13185.658955871839</v>
      </c>
      <c r="E146" s="48">
        <f>IFERROR(-($B$5+SUM($D$13:$D145))*$B146/12,0)</f>
        <v>-156544.87613561633</v>
      </c>
      <c r="F146" s="48">
        <f t="shared" si="8"/>
        <v>-169730.53509148816</v>
      </c>
      <c r="G146" s="48">
        <f>($B$5+SUM($D$13:$D146))</f>
        <v>6464533.3535523899</v>
      </c>
      <c r="K146" s="45">
        <f t="shared" si="9"/>
        <v>3.7999999999999999E-2</v>
      </c>
      <c r="L146" s="47">
        <v>134</v>
      </c>
      <c r="M146" s="5">
        <f t="shared" si="10"/>
        <v>0</v>
      </c>
      <c r="N146" s="48">
        <f>PPMT($K146/12,1,$C$5-L146+1,$B$5+SUM($N$13:N145),0)</f>
        <v>-29803.473122822586</v>
      </c>
      <c r="O146" s="48">
        <f>-($B$5+SUM($N$13:$N145))*$K146/12</f>
        <v>-11997.637603881092</v>
      </c>
      <c r="P146" s="48">
        <f t="shared" si="11"/>
        <v>-41801.110726703679</v>
      </c>
      <c r="Q146" s="48">
        <f>($B$5+SUM($D$13:$D146))</f>
        <v>6464533.3535523899</v>
      </c>
    </row>
    <row r="147" spans="2:17">
      <c r="B147" s="45">
        <f>'Ипотечный калькулятор'!$C$21</f>
        <v>0.29000000000000004</v>
      </c>
      <c r="C147" s="46">
        <v>135</v>
      </c>
      <c r="D147" s="48">
        <f>PPMT($B147/12,1,$C$5-C147+1,$B$5+SUM($D$13:D146),0)</f>
        <v>-13504.312380638738</v>
      </c>
      <c r="E147" s="48">
        <f>IFERROR(-($B$5+SUM($D$13:$D146))*$B147/12,0)</f>
        <v>-156226.22271084946</v>
      </c>
      <c r="F147" s="48">
        <f t="shared" si="8"/>
        <v>-169730.53509148819</v>
      </c>
      <c r="G147" s="48">
        <f>($B$5+SUM($D$13:$D147))</f>
        <v>6451029.041171751</v>
      </c>
      <c r="K147" s="45">
        <f t="shared" si="9"/>
        <v>3.7999999999999999E-2</v>
      </c>
      <c r="L147" s="46">
        <v>135</v>
      </c>
      <c r="M147" s="5">
        <f t="shared" si="10"/>
        <v>0</v>
      </c>
      <c r="N147" s="48">
        <f>PPMT($K147/12,1,$C$5-L147+1,$B$5+SUM($N$13:N146),0)</f>
        <v>-29897.850787711523</v>
      </c>
      <c r="O147" s="48">
        <f>-($B$5+SUM($N$13:$N146))*$K147/12</f>
        <v>-11903.259938992152</v>
      </c>
      <c r="P147" s="48">
        <f t="shared" si="11"/>
        <v>-41801.110726703671</v>
      </c>
      <c r="Q147" s="48">
        <f>($B$5+SUM($D$13:$D147))</f>
        <v>6451029.041171751</v>
      </c>
    </row>
    <row r="148" spans="2:17">
      <c r="B148" s="45">
        <f>'Ипотечный калькулятор'!$C$21</f>
        <v>0.29000000000000004</v>
      </c>
      <c r="C148" s="47">
        <v>136</v>
      </c>
      <c r="D148" s="48">
        <f>PPMT($B148/12,1,$C$5-C148+1,$B$5+SUM($D$13:D147),0)</f>
        <v>-13830.666596504176</v>
      </c>
      <c r="E148" s="48">
        <f>IFERROR(-($B$5+SUM($D$13:$D147))*$B148/12,0)</f>
        <v>-155899.868494984</v>
      </c>
      <c r="F148" s="48">
        <f t="shared" si="8"/>
        <v>-169730.53509148816</v>
      </c>
      <c r="G148" s="48">
        <f>($B$5+SUM($D$13:$D148))</f>
        <v>6437198.3745752461</v>
      </c>
      <c r="K148" s="45">
        <f t="shared" si="9"/>
        <v>3.7999999999999999E-2</v>
      </c>
      <c r="L148" s="47">
        <v>136</v>
      </c>
      <c r="M148" s="5">
        <f t="shared" si="10"/>
        <v>0</v>
      </c>
      <c r="N148" s="48">
        <f>PPMT($K148/12,1,$C$5-L148+1,$B$5+SUM($N$13:N147),0)</f>
        <v>-29992.527315205945</v>
      </c>
      <c r="O148" s="48">
        <f>-($B$5+SUM($N$13:$N147))*$K148/12</f>
        <v>-11808.583411497733</v>
      </c>
      <c r="P148" s="48">
        <f t="shared" si="11"/>
        <v>-41801.110726703679</v>
      </c>
      <c r="Q148" s="48">
        <f>($B$5+SUM($D$13:$D148))</f>
        <v>6437198.3745752461</v>
      </c>
    </row>
    <row r="149" spans="2:17">
      <c r="B149" s="45">
        <f>'Ипотечный калькулятор'!$C$21</f>
        <v>0.29000000000000004</v>
      </c>
      <c r="C149" s="46">
        <v>137</v>
      </c>
      <c r="D149" s="48">
        <f>PPMT($B149/12,1,$C$5-C149+1,$B$5+SUM($D$13:D148),0)</f>
        <v>-14164.907705919692</v>
      </c>
      <c r="E149" s="48">
        <f>IFERROR(-($B$5+SUM($D$13:$D148))*$B149/12,0)</f>
        <v>-155565.62738556848</v>
      </c>
      <c r="F149" s="48">
        <f t="shared" si="8"/>
        <v>-169730.53509148819</v>
      </c>
      <c r="G149" s="48">
        <f>($B$5+SUM($D$13:$D149))</f>
        <v>6423033.4668693263</v>
      </c>
      <c r="K149" s="45">
        <f t="shared" si="9"/>
        <v>3.7999999999999999E-2</v>
      </c>
      <c r="L149" s="46">
        <v>137</v>
      </c>
      <c r="M149" s="5">
        <f t="shared" si="10"/>
        <v>0</v>
      </c>
      <c r="N149" s="48">
        <f>PPMT($K149/12,1,$C$5-L149+1,$B$5+SUM($N$13:N148),0)</f>
        <v>-30087.503651704093</v>
      </c>
      <c r="O149" s="48">
        <f>-($B$5+SUM($N$13:$N148))*$K149/12</f>
        <v>-11713.607074999583</v>
      </c>
      <c r="P149" s="48">
        <f t="shared" si="11"/>
        <v>-41801.110726703679</v>
      </c>
      <c r="Q149" s="48">
        <f>($B$5+SUM($D$13:$D149))</f>
        <v>6423033.4668693263</v>
      </c>
    </row>
    <row r="150" spans="2:17">
      <c r="B150" s="45">
        <f>'Ипотечный калькулятор'!$C$21</f>
        <v>0.29000000000000004</v>
      </c>
      <c r="C150" s="47">
        <v>138</v>
      </c>
      <c r="D150" s="48">
        <f>PPMT($B150/12,1,$C$5-C150+1,$B$5+SUM($D$13:D149),0)</f>
        <v>-14507.226308812749</v>
      </c>
      <c r="E150" s="48">
        <f>IFERROR(-($B$5+SUM($D$13:$D149))*$B150/12,0)</f>
        <v>-155223.30878267539</v>
      </c>
      <c r="F150" s="48">
        <f t="shared" si="8"/>
        <v>-169730.53509148813</v>
      </c>
      <c r="G150" s="48">
        <f>($B$5+SUM($D$13:$D150))</f>
        <v>6408526.2405605139</v>
      </c>
      <c r="K150" s="45">
        <f t="shared" si="9"/>
        <v>3.7999999999999999E-2</v>
      </c>
      <c r="L150" s="47">
        <v>138</v>
      </c>
      <c r="M150" s="5">
        <f t="shared" si="10"/>
        <v>0</v>
      </c>
      <c r="N150" s="48">
        <f>PPMT($K150/12,1,$C$5-L150+1,$B$5+SUM($N$13:N149),0)</f>
        <v>-30182.780746601158</v>
      </c>
      <c r="O150" s="48">
        <f>-($B$5+SUM($N$13:$N149))*$K150/12</f>
        <v>-11618.329980102519</v>
      </c>
      <c r="P150" s="48">
        <f t="shared" si="11"/>
        <v>-41801.110726703679</v>
      </c>
      <c r="Q150" s="48">
        <f>($B$5+SUM($D$13:$D150))</f>
        <v>6408526.2405605139</v>
      </c>
    </row>
    <row r="151" spans="2:17">
      <c r="B151" s="45">
        <f>'Ипотечный калькулятор'!$C$21</f>
        <v>0.29000000000000004</v>
      </c>
      <c r="C151" s="46">
        <v>139</v>
      </c>
      <c r="D151" s="48">
        <f>PPMT($B151/12,1,$C$5-C151+1,$B$5+SUM($D$13:D150),0)</f>
        <v>-14857.817611275726</v>
      </c>
      <c r="E151" s="48">
        <f>IFERROR(-($B$5+SUM($D$13:$D150))*$B151/12,0)</f>
        <v>-154872.71748021242</v>
      </c>
      <c r="F151" s="48">
        <f t="shared" si="8"/>
        <v>-169730.53509148816</v>
      </c>
      <c r="G151" s="48">
        <f>($B$5+SUM($D$13:$D151))</f>
        <v>6393668.4229492387</v>
      </c>
      <c r="K151" s="45">
        <f t="shared" si="9"/>
        <v>3.7999999999999999E-2</v>
      </c>
      <c r="L151" s="46">
        <v>139</v>
      </c>
      <c r="M151" s="5">
        <f t="shared" si="10"/>
        <v>0</v>
      </c>
      <c r="N151" s="48">
        <f>PPMT($K151/12,1,$C$5-L151+1,$B$5+SUM($N$13:N150),0)</f>
        <v>-30278.359552298738</v>
      </c>
      <c r="O151" s="48">
        <f>-($B$5+SUM($N$13:$N150))*$K151/12</f>
        <v>-11522.751174404948</v>
      </c>
      <c r="P151" s="48">
        <f t="shared" si="11"/>
        <v>-41801.110726703686</v>
      </c>
      <c r="Q151" s="48">
        <f>($B$5+SUM($D$13:$D151))</f>
        <v>6393668.4229492387</v>
      </c>
    </row>
    <row r="152" spans="2:17">
      <c r="B152" s="45">
        <f>'Ипотечный калькулятор'!$C$21</f>
        <v>0.29000000000000004</v>
      </c>
      <c r="C152" s="47">
        <v>140</v>
      </c>
      <c r="D152" s="48">
        <f>PPMT($B152/12,1,$C$5-C152+1,$B$5+SUM($D$13:D151),0)</f>
        <v>-15216.881536881559</v>
      </c>
      <c r="E152" s="48">
        <f>IFERROR(-($B$5+SUM($D$13:$D151))*$B152/12,0)</f>
        <v>-154513.65355460663</v>
      </c>
      <c r="F152" s="48">
        <f t="shared" si="8"/>
        <v>-169730.53509148819</v>
      </c>
      <c r="G152" s="48">
        <f>($B$5+SUM($D$13:$D152))</f>
        <v>6378451.5414123572</v>
      </c>
      <c r="K152" s="45">
        <f t="shared" si="9"/>
        <v>3.7999999999999999E-2</v>
      </c>
      <c r="L152" s="47">
        <v>140</v>
      </c>
      <c r="M152" s="5">
        <f t="shared" si="10"/>
        <v>0</v>
      </c>
      <c r="N152" s="48">
        <f>PPMT($K152/12,1,$C$5-L152+1,$B$5+SUM($N$13:N151),0)</f>
        <v>-30374.241024214345</v>
      </c>
      <c r="O152" s="48">
        <f>-($B$5+SUM($N$13:$N151))*$K152/12</f>
        <v>-11426.869702489335</v>
      </c>
      <c r="P152" s="48">
        <f t="shared" si="11"/>
        <v>-41801.110726703679</v>
      </c>
      <c r="Q152" s="48">
        <f>($B$5+SUM($D$13:$D152))</f>
        <v>6378451.5414123572</v>
      </c>
    </row>
    <row r="153" spans="2:17">
      <c r="B153" s="45">
        <f>'Ипотечный калькулятор'!$C$21</f>
        <v>0.29000000000000004</v>
      </c>
      <c r="C153" s="46">
        <v>141</v>
      </c>
      <c r="D153" s="48">
        <f>PPMT($B153/12,1,$C$5-C153+1,$B$5+SUM($D$13:D152),0)</f>
        <v>-15584.622840689526</v>
      </c>
      <c r="E153" s="48">
        <f>IFERROR(-($B$5+SUM($D$13:$D152))*$B153/12,0)</f>
        <v>-154145.91225079866</v>
      </c>
      <c r="F153" s="48">
        <f t="shared" si="8"/>
        <v>-169730.53509148819</v>
      </c>
      <c r="G153" s="48">
        <f>($B$5+SUM($D$13:$D153))</f>
        <v>6362866.9185716677</v>
      </c>
      <c r="K153" s="45">
        <f t="shared" si="9"/>
        <v>3.7999999999999999E-2</v>
      </c>
      <c r="L153" s="46">
        <v>141</v>
      </c>
      <c r="M153" s="5">
        <f t="shared" si="10"/>
        <v>0</v>
      </c>
      <c r="N153" s="48">
        <f>PPMT($K153/12,1,$C$5-L153+1,$B$5+SUM($N$13:N152),0)</f>
        <v>-30470.426120791028</v>
      </c>
      <c r="O153" s="48">
        <f>-($B$5+SUM($N$13:$N152))*$K153/12</f>
        <v>-11330.684605912656</v>
      </c>
      <c r="P153" s="48">
        <f t="shared" si="11"/>
        <v>-41801.110726703686</v>
      </c>
      <c r="Q153" s="48">
        <f>($B$5+SUM($D$13:$D153))</f>
        <v>6362866.9185716677</v>
      </c>
    </row>
    <row r="154" spans="2:17">
      <c r="B154" s="45">
        <f>'Ипотечный калькулятор'!$C$21</f>
        <v>0.29000000000000004</v>
      </c>
      <c r="C154" s="47">
        <v>142</v>
      </c>
      <c r="D154" s="48">
        <f>PPMT($B154/12,1,$C$5-C154+1,$B$5+SUM($D$13:D153),0)</f>
        <v>-15961.251226006192</v>
      </c>
      <c r="E154" s="48">
        <f>IFERROR(-($B$5+SUM($D$13:$D153))*$B154/12,0)</f>
        <v>-153769.28386548199</v>
      </c>
      <c r="F154" s="48">
        <f t="shared" si="8"/>
        <v>-169730.53509148819</v>
      </c>
      <c r="G154" s="48">
        <f>($B$5+SUM($D$13:$D154))</f>
        <v>6346905.6673456607</v>
      </c>
      <c r="K154" s="45">
        <f t="shared" si="9"/>
        <v>3.7999999999999999E-2</v>
      </c>
      <c r="L154" s="47">
        <v>142</v>
      </c>
      <c r="M154" s="5">
        <f t="shared" si="10"/>
        <v>0</v>
      </c>
      <c r="N154" s="48">
        <f>PPMT($K154/12,1,$C$5-L154+1,$B$5+SUM($N$13:N153),0)</f>
        <v>-30566.915803506854</v>
      </c>
      <c r="O154" s="48">
        <f>-($B$5+SUM($N$13:$N153))*$K154/12</f>
        <v>-11234.194923196819</v>
      </c>
      <c r="P154" s="48">
        <f t="shared" si="11"/>
        <v>-41801.110726703671</v>
      </c>
      <c r="Q154" s="48">
        <f>($B$5+SUM($D$13:$D154))</f>
        <v>6346905.6673456607</v>
      </c>
    </row>
    <row r="155" spans="2:17">
      <c r="B155" s="45">
        <f>'Ипотечный калькулятор'!$C$21</f>
        <v>0.29000000000000004</v>
      </c>
      <c r="C155" s="46">
        <v>143</v>
      </c>
      <c r="D155" s="48">
        <f>PPMT($B155/12,1,$C$5-C155+1,$B$5+SUM($D$13:D154),0)</f>
        <v>-16346.981463968006</v>
      </c>
      <c r="E155" s="48">
        <f>IFERROR(-($B$5+SUM($D$13:$D154))*$B155/12,0)</f>
        <v>-153383.55362752016</v>
      </c>
      <c r="F155" s="48">
        <f t="shared" si="8"/>
        <v>-169730.53509148816</v>
      </c>
      <c r="G155" s="48">
        <f>($B$5+SUM($D$13:$D155))</f>
        <v>6330558.6858816929</v>
      </c>
      <c r="K155" s="45">
        <f t="shared" si="9"/>
        <v>3.7999999999999999E-2</v>
      </c>
      <c r="L155" s="46">
        <v>143</v>
      </c>
      <c r="M155" s="5">
        <f t="shared" si="10"/>
        <v>0</v>
      </c>
      <c r="N155" s="48">
        <f>PPMT($K155/12,1,$C$5-L155+1,$B$5+SUM($N$13:N154),0)</f>
        <v>-30663.711036884633</v>
      </c>
      <c r="O155" s="48">
        <f>-($B$5+SUM($N$13:$N154))*$K155/12</f>
        <v>-11137.399689819047</v>
      </c>
      <c r="P155" s="48">
        <f t="shared" si="11"/>
        <v>-41801.110726703679</v>
      </c>
      <c r="Q155" s="48">
        <f>($B$5+SUM($D$13:$D155))</f>
        <v>6330558.6858816929</v>
      </c>
    </row>
    <row r="156" spans="2:17">
      <c r="B156" s="45">
        <f>'Ипотечный калькулятор'!$C$21</f>
        <v>0.29000000000000004</v>
      </c>
      <c r="C156" s="47">
        <v>144</v>
      </c>
      <c r="D156" s="48">
        <f>PPMT($B156/12,1,$C$5-C156+1,$B$5+SUM($D$13:D155),0)</f>
        <v>-16742.0335160139</v>
      </c>
      <c r="E156" s="48">
        <f>IFERROR(-($B$5+SUM($D$13:$D155))*$B156/12,0)</f>
        <v>-152988.50157547425</v>
      </c>
      <c r="F156" s="48">
        <f t="shared" si="8"/>
        <v>-169730.53509148816</v>
      </c>
      <c r="G156" s="48">
        <f>($B$5+SUM($D$13:$D156))</f>
        <v>6313816.6523656789</v>
      </c>
      <c r="K156" s="45">
        <f t="shared" si="9"/>
        <v>3.7999999999999999E-2</v>
      </c>
      <c r="L156" s="47">
        <v>144</v>
      </c>
      <c r="M156" s="5">
        <f t="shared" si="10"/>
        <v>0</v>
      </c>
      <c r="N156" s="48">
        <f>PPMT($K156/12,1,$C$5-L156+1,$B$5+SUM($N$13:N155),0)</f>
        <v>-30760.812788501436</v>
      </c>
      <c r="O156" s="48">
        <f>-($B$5+SUM($N$13:$N155))*$K156/12</f>
        <v>-11040.297938202246</v>
      </c>
      <c r="P156" s="48">
        <f t="shared" si="11"/>
        <v>-41801.110726703686</v>
      </c>
      <c r="Q156" s="48">
        <f>($B$5+SUM($D$13:$D156))</f>
        <v>6313816.6523656789</v>
      </c>
    </row>
    <row r="157" spans="2:17">
      <c r="B157" s="45">
        <f>'Ипотечный калькулятор'!$C$21</f>
        <v>0.29000000000000004</v>
      </c>
      <c r="C157" s="46">
        <v>145</v>
      </c>
      <c r="D157" s="48">
        <f>PPMT($B157/12,1,$C$5-C157+1,$B$5+SUM($D$13:D156),0)</f>
        <v>-17146.632659317569</v>
      </c>
      <c r="E157" s="48">
        <f>IFERROR(-($B$5+SUM($D$13:$D156))*$B157/12,0)</f>
        <v>-152583.90243217061</v>
      </c>
      <c r="F157" s="48">
        <f t="shared" si="8"/>
        <v>-169730.53509148819</v>
      </c>
      <c r="G157" s="48">
        <f>($B$5+SUM($D$13:$D157))</f>
        <v>6296670.0197063619</v>
      </c>
      <c r="K157" s="45">
        <f t="shared" si="9"/>
        <v>3.7999999999999999E-2</v>
      </c>
      <c r="L157" s="46">
        <v>145</v>
      </c>
      <c r="M157" s="5">
        <f t="shared" si="10"/>
        <v>0</v>
      </c>
      <c r="N157" s="48">
        <f>PPMT($K157/12,1,$C$5-L157+1,$B$5+SUM($N$13:N156),0)</f>
        <v>-30858.222028998349</v>
      </c>
      <c r="O157" s="48">
        <f>-($B$5+SUM($N$13:$N156))*$K157/12</f>
        <v>-10942.888697705324</v>
      </c>
      <c r="P157" s="48">
        <f t="shared" si="11"/>
        <v>-41801.110726703671</v>
      </c>
      <c r="Q157" s="48">
        <f>($B$5+SUM($D$13:$D157))</f>
        <v>6296670.0197063619</v>
      </c>
    </row>
    <row r="158" spans="2:17">
      <c r="B158" s="45">
        <f>'Ипотечный калькулятор'!$C$21</f>
        <v>0.29000000000000004</v>
      </c>
      <c r="C158" s="47">
        <v>146</v>
      </c>
      <c r="D158" s="48">
        <f>PPMT($B158/12,1,$C$5-C158+1,$B$5+SUM($D$13:D157),0)</f>
        <v>-17561.009615251081</v>
      </c>
      <c r="E158" s="48">
        <f>IFERROR(-($B$5+SUM($D$13:$D157))*$B158/12,0)</f>
        <v>-152169.52547623709</v>
      </c>
      <c r="F158" s="48">
        <f t="shared" si="8"/>
        <v>-169730.53509148816</v>
      </c>
      <c r="G158" s="48">
        <f>($B$5+SUM($D$13:$D158))</f>
        <v>6279109.0100911101</v>
      </c>
      <c r="K158" s="45">
        <f t="shared" si="9"/>
        <v>3.7999999999999999E-2</v>
      </c>
      <c r="L158" s="47">
        <v>146</v>
      </c>
      <c r="M158" s="5">
        <f t="shared" si="10"/>
        <v>0</v>
      </c>
      <c r="N158" s="48">
        <f>PPMT($K158/12,1,$C$5-L158+1,$B$5+SUM($N$13:N157),0)</f>
        <v>-30955.939732090184</v>
      </c>
      <c r="O158" s="48">
        <f>-($B$5+SUM($N$13:$N157))*$K158/12</f>
        <v>-10845.170994613496</v>
      </c>
      <c r="P158" s="48">
        <f t="shared" si="11"/>
        <v>-41801.110726703679</v>
      </c>
      <c r="Q158" s="48">
        <f>($B$5+SUM($D$13:$D158))</f>
        <v>6279109.0100911101</v>
      </c>
    </row>
    <row r="159" spans="2:17">
      <c r="B159" s="45">
        <f>'Ипотечный калькулятор'!$C$21</f>
        <v>0.29000000000000004</v>
      </c>
      <c r="C159" s="46">
        <v>147</v>
      </c>
      <c r="D159" s="48">
        <f>PPMT($B159/12,1,$C$5-C159+1,$B$5+SUM($D$13:D158),0)</f>
        <v>-17985.400680952978</v>
      </c>
      <c r="E159" s="48">
        <f>IFERROR(-($B$5+SUM($D$13:$D158))*$B159/12,0)</f>
        <v>-151745.13441053519</v>
      </c>
      <c r="F159" s="48">
        <f t="shared" si="8"/>
        <v>-169730.53509148816</v>
      </c>
      <c r="G159" s="48">
        <f>($B$5+SUM($D$13:$D159))</f>
        <v>6261123.6094101574</v>
      </c>
      <c r="K159" s="45">
        <f t="shared" si="9"/>
        <v>3.7999999999999999E-2</v>
      </c>
      <c r="L159" s="46">
        <v>147</v>
      </c>
      <c r="M159" s="5">
        <f t="shared" si="10"/>
        <v>0</v>
      </c>
      <c r="N159" s="48">
        <f>PPMT($K159/12,1,$C$5-L159+1,$B$5+SUM($N$13:N158),0)</f>
        <v>-31053.966874575137</v>
      </c>
      <c r="O159" s="48">
        <f>-($B$5+SUM($N$13:$N158))*$K159/12</f>
        <v>-10747.143852128545</v>
      </c>
      <c r="P159" s="48">
        <f t="shared" si="11"/>
        <v>-41801.110726703686</v>
      </c>
      <c r="Q159" s="48">
        <f>($B$5+SUM($D$13:$D159))</f>
        <v>6261123.6094101574</v>
      </c>
    </row>
    <row r="160" spans="2:17">
      <c r="B160" s="45">
        <f>'Ипотечный калькулятор'!$C$21</f>
        <v>0.29000000000000004</v>
      </c>
      <c r="C160" s="47">
        <v>148</v>
      </c>
      <c r="D160" s="48">
        <f>PPMT($B160/12,1,$C$5-C160+1,$B$5+SUM($D$13:D159),0)</f>
        <v>-18420.047864076008</v>
      </c>
      <c r="E160" s="48">
        <f>IFERROR(-($B$5+SUM($D$13:$D159))*$B160/12,0)</f>
        <v>-151310.48722741214</v>
      </c>
      <c r="F160" s="48">
        <f t="shared" si="8"/>
        <v>-169730.53509148816</v>
      </c>
      <c r="G160" s="48">
        <f>($B$5+SUM($D$13:$D160))</f>
        <v>6242703.5615460817</v>
      </c>
      <c r="K160" s="45">
        <f t="shared" si="9"/>
        <v>3.7999999999999999E-2</v>
      </c>
      <c r="L160" s="47">
        <v>148</v>
      </c>
      <c r="M160" s="5">
        <f t="shared" si="10"/>
        <v>0</v>
      </c>
      <c r="N160" s="48">
        <f>PPMT($K160/12,1,$C$5-L160+1,$B$5+SUM($N$13:N159),0)</f>
        <v>-31152.304436344624</v>
      </c>
      <c r="O160" s="48">
        <f>-($B$5+SUM($N$13:$N159))*$K160/12</f>
        <v>-10648.806290359056</v>
      </c>
      <c r="P160" s="48">
        <f t="shared" si="11"/>
        <v>-41801.110726703679</v>
      </c>
      <c r="Q160" s="48">
        <f>($B$5+SUM($D$13:$D160))</f>
        <v>6242703.5615460817</v>
      </c>
    </row>
    <row r="161" spans="2:17">
      <c r="B161" s="45">
        <f>'Ипотечный калькулятор'!$C$21</f>
        <v>0.29000000000000004</v>
      </c>
      <c r="C161" s="46">
        <v>149</v>
      </c>
      <c r="D161" s="48">
        <f>PPMT($B161/12,1,$C$5-C161+1,$B$5+SUM($D$13:D160),0)</f>
        <v>-18865.19902079118</v>
      </c>
      <c r="E161" s="48">
        <f>IFERROR(-($B$5+SUM($D$13:$D160))*$B161/12,0)</f>
        <v>-150865.336070697</v>
      </c>
      <c r="F161" s="48">
        <f t="shared" si="8"/>
        <v>-169730.53509148819</v>
      </c>
      <c r="G161" s="48">
        <f>($B$5+SUM($D$13:$D161))</f>
        <v>6223838.3625252899</v>
      </c>
      <c r="K161" s="45">
        <f t="shared" si="9"/>
        <v>3.7999999999999999E-2</v>
      </c>
      <c r="L161" s="46">
        <v>149</v>
      </c>
      <c r="M161" s="5">
        <f t="shared" si="10"/>
        <v>0</v>
      </c>
      <c r="N161" s="48">
        <f>PPMT($K161/12,1,$C$5-L161+1,$B$5+SUM($N$13:N160),0)</f>
        <v>-31250.953400393049</v>
      </c>
      <c r="O161" s="48">
        <f>-($B$5+SUM($N$13:$N160))*$K161/12</f>
        <v>-10550.157326310631</v>
      </c>
      <c r="P161" s="48">
        <f t="shared" si="11"/>
        <v>-41801.110726703679</v>
      </c>
      <c r="Q161" s="48">
        <f>($B$5+SUM($D$13:$D161))</f>
        <v>6223838.3625252899</v>
      </c>
    </row>
    <row r="162" spans="2:17">
      <c r="B162" s="45">
        <f>'Ипотечный калькулятор'!$C$21</f>
        <v>0.29000000000000004</v>
      </c>
      <c r="C162" s="47">
        <v>150</v>
      </c>
      <c r="D162" s="48">
        <f>PPMT($B162/12,1,$C$5-C162+1,$B$5+SUM($D$13:D161),0)</f>
        <v>-19321.107997126965</v>
      </c>
      <c r="E162" s="48">
        <f>IFERROR(-($B$5+SUM($D$13:$D161))*$B162/12,0)</f>
        <v>-150409.42709436119</v>
      </c>
      <c r="F162" s="48">
        <f t="shared" si="8"/>
        <v>-169730.53509148816</v>
      </c>
      <c r="G162" s="48">
        <f>($B$5+SUM($D$13:$D162))</f>
        <v>6204517.254528163</v>
      </c>
      <c r="K162" s="45">
        <f t="shared" si="9"/>
        <v>3.7999999999999999E-2</v>
      </c>
      <c r="L162" s="47">
        <v>150</v>
      </c>
      <c r="M162" s="5">
        <f t="shared" si="10"/>
        <v>0</v>
      </c>
      <c r="N162" s="48">
        <f>PPMT($K162/12,1,$C$5-L162+1,$B$5+SUM($N$13:N161),0)</f>
        <v>-31349.914752827623</v>
      </c>
      <c r="O162" s="48">
        <f>-($B$5+SUM($N$13:$N161))*$K162/12</f>
        <v>-10451.195973876054</v>
      </c>
      <c r="P162" s="48">
        <f t="shared" si="11"/>
        <v>-41801.110726703679</v>
      </c>
      <c r="Q162" s="48">
        <f>($B$5+SUM($D$13:$D162))</f>
        <v>6204517.254528163</v>
      </c>
    </row>
    <row r="163" spans="2:17">
      <c r="B163" s="45">
        <f>'Ипотечный калькулятор'!$C$21</f>
        <v>0.29000000000000004</v>
      </c>
      <c r="C163" s="46">
        <v>151</v>
      </c>
      <c r="D163" s="48">
        <f>PPMT($B163/12,1,$C$5-C163+1,$B$5+SUM($D$13:D162),0)</f>
        <v>-19788.034773724201</v>
      </c>
      <c r="E163" s="48">
        <f>IFERROR(-($B$5+SUM($D$13:$D162))*$B163/12,0)</f>
        <v>-149942.50031776397</v>
      </c>
      <c r="F163" s="48">
        <f t="shared" si="8"/>
        <v>-169730.53509148819</v>
      </c>
      <c r="G163" s="48">
        <f>($B$5+SUM($D$13:$D163))</f>
        <v>6184729.2197544388</v>
      </c>
      <c r="K163" s="45">
        <f t="shared" si="9"/>
        <v>3.7999999999999999E-2</v>
      </c>
      <c r="L163" s="46">
        <v>151</v>
      </c>
      <c r="M163" s="5">
        <f t="shared" si="10"/>
        <v>0</v>
      </c>
      <c r="N163" s="48">
        <f>PPMT($K163/12,1,$C$5-L163+1,$B$5+SUM($N$13:N162),0)</f>
        <v>-31449.18948287825</v>
      </c>
      <c r="O163" s="48">
        <f>-($B$5+SUM($N$13:$N162))*$K163/12</f>
        <v>-10351.921243825434</v>
      </c>
      <c r="P163" s="48">
        <f t="shared" si="11"/>
        <v>-41801.110726703686</v>
      </c>
      <c r="Q163" s="48">
        <f>($B$5+SUM($D$13:$D163))</f>
        <v>6184729.2197544388</v>
      </c>
    </row>
    <row r="164" spans="2:17">
      <c r="B164" s="45">
        <f>'Ипотечный калькулятор'!$C$21</f>
        <v>0.29000000000000004</v>
      </c>
      <c r="C164" s="47">
        <v>152</v>
      </c>
      <c r="D164" s="48">
        <f>PPMT($B164/12,1,$C$5-C164+1,$B$5+SUM($D$13:D163),0)</f>
        <v>-20266.245614089199</v>
      </c>
      <c r="E164" s="48">
        <f>IFERROR(-($B$5+SUM($D$13:$D163))*$B164/12,0)</f>
        <v>-149464.28947739894</v>
      </c>
      <c r="F164" s="48">
        <f t="shared" si="8"/>
        <v>-169730.53509148813</v>
      </c>
      <c r="G164" s="48">
        <f>($B$5+SUM($D$13:$D164))</f>
        <v>6164462.9741403498</v>
      </c>
      <c r="K164" s="45">
        <f t="shared" si="9"/>
        <v>3.7999999999999999E-2</v>
      </c>
      <c r="L164" s="47">
        <v>152</v>
      </c>
      <c r="M164" s="5">
        <f t="shared" si="10"/>
        <v>0</v>
      </c>
      <c r="N164" s="48">
        <f>PPMT($K164/12,1,$C$5-L164+1,$B$5+SUM($N$13:N163),0)</f>
        <v>-31548.778582907355</v>
      </c>
      <c r="O164" s="48">
        <f>-($B$5+SUM($N$13:$N163))*$K164/12</f>
        <v>-10252.332143796319</v>
      </c>
      <c r="P164" s="48">
        <f t="shared" si="11"/>
        <v>-41801.110726703671</v>
      </c>
      <c r="Q164" s="48">
        <f>($B$5+SUM($D$13:$D164))</f>
        <v>6164462.9741403498</v>
      </c>
    </row>
    <row r="165" spans="2:17">
      <c r="B165" s="45">
        <f>'Ипотечный калькулятор'!$C$21</f>
        <v>0.29000000000000004</v>
      </c>
      <c r="C165" s="46">
        <v>153</v>
      </c>
      <c r="D165" s="48">
        <f>PPMT($B165/12,1,$C$5-C165+1,$B$5+SUM($D$13:D164),0)</f>
        <v>-20756.013216429696</v>
      </c>
      <c r="E165" s="48">
        <f>IFERROR(-($B$5+SUM($D$13:$D164))*$B165/12,0)</f>
        <v>-148974.52187505848</v>
      </c>
      <c r="F165" s="48">
        <f t="shared" si="8"/>
        <v>-169730.53509148816</v>
      </c>
      <c r="G165" s="48">
        <f>($B$5+SUM($D$13:$D165))</f>
        <v>6143706.9609239204</v>
      </c>
      <c r="K165" s="45">
        <f t="shared" si="9"/>
        <v>3.7999999999999999E-2</v>
      </c>
      <c r="L165" s="46">
        <v>153</v>
      </c>
      <c r="M165" s="5">
        <f t="shared" si="10"/>
        <v>0</v>
      </c>
      <c r="N165" s="48">
        <f>PPMT($K165/12,1,$C$5-L165+1,$B$5+SUM($N$13:N164),0)</f>
        <v>-31648.683048419909</v>
      </c>
      <c r="O165" s="48">
        <f>-($B$5+SUM($N$13:$N164))*$K165/12</f>
        <v>-10152.427678283779</v>
      </c>
      <c r="P165" s="48">
        <f t="shared" si="11"/>
        <v>-41801.110726703686</v>
      </c>
      <c r="Q165" s="48">
        <f>($B$5+SUM($D$13:$D165))</f>
        <v>6143706.9609239204</v>
      </c>
    </row>
    <row r="166" spans="2:17">
      <c r="B166" s="45">
        <f>'Ипотечный калькулятор'!$C$21</f>
        <v>0.29000000000000004</v>
      </c>
      <c r="C166" s="47">
        <v>154</v>
      </c>
      <c r="D166" s="48">
        <f>PPMT($B166/12,1,$C$5-C166+1,$B$5+SUM($D$13:D165),0)</f>
        <v>-21257.616869160076</v>
      </c>
      <c r="E166" s="48">
        <f>IFERROR(-($B$5+SUM($D$13:$D165))*$B166/12,0)</f>
        <v>-148472.91822232809</v>
      </c>
      <c r="F166" s="48">
        <f t="shared" si="8"/>
        <v>-169730.53509148816</v>
      </c>
      <c r="G166" s="48">
        <f>($B$5+SUM($D$13:$D166))</f>
        <v>6122449.3440547604</v>
      </c>
      <c r="K166" s="45">
        <f t="shared" si="9"/>
        <v>3.7999999999999999E-2</v>
      </c>
      <c r="L166" s="47">
        <v>154</v>
      </c>
      <c r="M166" s="5">
        <f t="shared" si="10"/>
        <v>0</v>
      </c>
      <c r="N166" s="48">
        <f>PPMT($K166/12,1,$C$5-L166+1,$B$5+SUM($N$13:N165),0)</f>
        <v>-31748.903878073233</v>
      </c>
      <c r="O166" s="48">
        <f>-($B$5+SUM($N$13:$N165))*$K166/12</f>
        <v>-10052.206848630449</v>
      </c>
      <c r="P166" s="48">
        <f t="shared" si="11"/>
        <v>-41801.110726703686</v>
      </c>
      <c r="Q166" s="48">
        <f>($B$5+SUM($D$13:$D166))</f>
        <v>6122449.3440547604</v>
      </c>
    </row>
    <row r="167" spans="2:17">
      <c r="B167" s="45">
        <f>'Ипотечный калькулятор'!$C$21</f>
        <v>0.29000000000000004</v>
      </c>
      <c r="C167" s="46">
        <v>155</v>
      </c>
      <c r="D167" s="48">
        <f>PPMT($B167/12,1,$C$5-C167+1,$B$5+SUM($D$13:D166),0)</f>
        <v>-21771.342610164782</v>
      </c>
      <c r="E167" s="48">
        <f>IFERROR(-($B$5+SUM($D$13:$D166))*$B167/12,0)</f>
        <v>-147959.19248132341</v>
      </c>
      <c r="F167" s="48">
        <f t="shared" si="8"/>
        <v>-169730.53509148819</v>
      </c>
      <c r="G167" s="48">
        <f>($B$5+SUM($D$13:$D167))</f>
        <v>6100678.0014445949</v>
      </c>
      <c r="K167" s="45">
        <f t="shared" si="9"/>
        <v>3.7999999999999999E-2</v>
      </c>
      <c r="L167" s="46">
        <v>155</v>
      </c>
      <c r="M167" s="5">
        <f t="shared" si="10"/>
        <v>0</v>
      </c>
      <c r="N167" s="48">
        <f>PPMT($K167/12,1,$C$5-L167+1,$B$5+SUM($N$13:N166),0)</f>
        <v>-31849.442073687129</v>
      </c>
      <c r="O167" s="48">
        <f>-($B$5+SUM($N$13:$N166))*$K167/12</f>
        <v>-9951.6686530165498</v>
      </c>
      <c r="P167" s="48">
        <f t="shared" si="11"/>
        <v>-41801.110726703679</v>
      </c>
      <c r="Q167" s="48">
        <f>($B$5+SUM($D$13:$D167))</f>
        <v>6100678.0014445949</v>
      </c>
    </row>
    <row r="168" spans="2:17">
      <c r="B168" s="45">
        <f>'Ипотечный калькулятор'!$C$21</f>
        <v>0.29000000000000004</v>
      </c>
      <c r="C168" s="47">
        <v>156</v>
      </c>
      <c r="D168" s="48">
        <f>PPMT($B168/12,1,$C$5-C168+1,$B$5+SUM($D$13:D167),0)</f>
        <v>-22297.483389910423</v>
      </c>
      <c r="E168" s="48">
        <f>IFERROR(-($B$5+SUM($D$13:$D167))*$B168/12,0)</f>
        <v>-147433.05170157773</v>
      </c>
      <c r="F168" s="48">
        <f t="shared" si="8"/>
        <v>-169730.53509148816</v>
      </c>
      <c r="G168" s="48">
        <f>($B$5+SUM($D$13:$D168))</f>
        <v>6078380.5180546846</v>
      </c>
      <c r="K168" s="45">
        <f t="shared" si="9"/>
        <v>3.7999999999999999E-2</v>
      </c>
      <c r="L168" s="47">
        <v>156</v>
      </c>
      <c r="M168" s="5">
        <f t="shared" si="10"/>
        <v>0</v>
      </c>
      <c r="N168" s="48">
        <f>PPMT($K168/12,1,$C$5-L168+1,$B$5+SUM($N$13:N167),0)</f>
        <v>-31950.298640253808</v>
      </c>
      <c r="O168" s="48">
        <f>-($B$5+SUM($N$13:$N167))*$K168/12</f>
        <v>-9850.8120864498742</v>
      </c>
      <c r="P168" s="48">
        <f t="shared" si="11"/>
        <v>-41801.110726703686</v>
      </c>
      <c r="Q168" s="48">
        <f>($B$5+SUM($D$13:$D168))</f>
        <v>6078380.5180546846</v>
      </c>
    </row>
    <row r="169" spans="2:17">
      <c r="B169" s="45">
        <f>'Ипотечный калькулятор'!$C$21</f>
        <v>0.29000000000000004</v>
      </c>
      <c r="C169" s="46">
        <v>157</v>
      </c>
      <c r="D169" s="48">
        <f>PPMT($B169/12,1,$C$5-C169+1,$B$5+SUM($D$13:D168),0)</f>
        <v>-22836.339238499932</v>
      </c>
      <c r="E169" s="48">
        <f>IFERROR(-($B$5+SUM($D$13:$D168))*$B169/12,0)</f>
        <v>-146894.19585298822</v>
      </c>
      <c r="F169" s="48">
        <f t="shared" si="8"/>
        <v>-169730.53509148816</v>
      </c>
      <c r="G169" s="48">
        <f>($B$5+SUM($D$13:$D169))</f>
        <v>6055544.1788161853</v>
      </c>
      <c r="K169" s="45">
        <f t="shared" si="9"/>
        <v>3.7999999999999999E-2</v>
      </c>
      <c r="L169" s="46">
        <v>157</v>
      </c>
      <c r="M169" s="5">
        <f t="shared" si="10"/>
        <v>0</v>
      </c>
      <c r="N169" s="48">
        <f>PPMT($K169/12,1,$C$5-L169+1,$B$5+SUM($N$13:N168),0)</f>
        <v>-32051.474585947937</v>
      </c>
      <c r="O169" s="48">
        <f>-($B$5+SUM($N$13:$N168))*$K169/12</f>
        <v>-9749.6361407557361</v>
      </c>
      <c r="P169" s="48">
        <f t="shared" si="11"/>
        <v>-41801.110726703671</v>
      </c>
      <c r="Q169" s="48">
        <f>($B$5+SUM($D$13:$D169))</f>
        <v>6055544.1788161853</v>
      </c>
    </row>
    <row r="170" spans="2:17">
      <c r="B170" s="45">
        <f>'Ипотечный калькулятор'!$C$21</f>
        <v>0.29000000000000004</v>
      </c>
      <c r="C170" s="47">
        <v>158</v>
      </c>
      <c r="D170" s="48">
        <f>PPMT($B170/12,1,$C$5-C170+1,$B$5+SUM($D$13:D169),0)</f>
        <v>-23388.217436763684</v>
      </c>
      <c r="E170" s="48">
        <f>IFERROR(-($B$5+SUM($D$13:$D169))*$B170/12,0)</f>
        <v>-146342.31765472449</v>
      </c>
      <c r="F170" s="48">
        <f t="shared" si="8"/>
        <v>-169730.53509148819</v>
      </c>
      <c r="G170" s="48">
        <f>($B$5+SUM($D$13:$D170))</f>
        <v>6032155.9613794219</v>
      </c>
      <c r="K170" s="45">
        <f t="shared" si="9"/>
        <v>3.7999999999999999E-2</v>
      </c>
      <c r="L170" s="47">
        <v>158</v>
      </c>
      <c r="M170" s="5">
        <f t="shared" si="10"/>
        <v>0</v>
      </c>
      <c r="N170" s="48">
        <f>PPMT($K170/12,1,$C$5-L170+1,$B$5+SUM($N$13:N169),0)</f>
        <v>-32152.970922136774</v>
      </c>
      <c r="O170" s="48">
        <f>-($B$5+SUM($N$13:$N169))*$K170/12</f>
        <v>-9648.1398045669011</v>
      </c>
      <c r="P170" s="48">
        <f t="shared" si="11"/>
        <v>-41801.110726703671</v>
      </c>
      <c r="Q170" s="48">
        <f>($B$5+SUM($D$13:$D170))</f>
        <v>6032155.9613794219</v>
      </c>
    </row>
    <row r="171" spans="2:17">
      <c r="B171" s="45">
        <f>'Ипотечный калькулятор'!$C$21</f>
        <v>0.29000000000000004</v>
      </c>
      <c r="C171" s="46">
        <v>159</v>
      </c>
      <c r="D171" s="48">
        <f>PPMT($B171/12,1,$C$5-C171+1,$B$5+SUM($D$13:D170),0)</f>
        <v>-23953.432691485468</v>
      </c>
      <c r="E171" s="48">
        <f>IFERROR(-($B$5+SUM($D$13:$D170))*$B171/12,0)</f>
        <v>-145777.10240000271</v>
      </c>
      <c r="F171" s="48">
        <f t="shared" si="8"/>
        <v>-169730.53509148819</v>
      </c>
      <c r="G171" s="48">
        <f>($B$5+SUM($D$13:$D171))</f>
        <v>6008202.5286879363</v>
      </c>
      <c r="K171" s="45">
        <f t="shared" si="9"/>
        <v>3.7999999999999999E-2</v>
      </c>
      <c r="L171" s="46">
        <v>159</v>
      </c>
      <c r="M171" s="5">
        <f t="shared" si="10"/>
        <v>0</v>
      </c>
      <c r="N171" s="48">
        <f>PPMT($K171/12,1,$C$5-L171+1,$B$5+SUM($N$13:N170),0)</f>
        <v>-32254.788663390216</v>
      </c>
      <c r="O171" s="48">
        <f>-($B$5+SUM($N$13:$N170))*$K171/12</f>
        <v>-9546.3220633134679</v>
      </c>
      <c r="P171" s="48">
        <f t="shared" si="11"/>
        <v>-41801.110726703686</v>
      </c>
      <c r="Q171" s="48">
        <f>($B$5+SUM($D$13:$D171))</f>
        <v>6008202.5286879363</v>
      </c>
    </row>
    <row r="172" spans="2:17">
      <c r="B172" s="45">
        <f>'Ипотечный калькулятор'!$C$21</f>
        <v>0.29000000000000004</v>
      </c>
      <c r="C172" s="47">
        <v>160</v>
      </c>
      <c r="D172" s="48">
        <f>PPMT($B172/12,1,$C$5-C172+1,$B$5+SUM($D$13:D171),0)</f>
        <v>-24532.307314863036</v>
      </c>
      <c r="E172" s="48">
        <f>IFERROR(-($B$5+SUM($D$13:$D171))*$B172/12,0)</f>
        <v>-145198.22777662514</v>
      </c>
      <c r="F172" s="48">
        <f t="shared" si="8"/>
        <v>-169730.53509148816</v>
      </c>
      <c r="G172" s="48">
        <f>($B$5+SUM($D$13:$D172))</f>
        <v>5983670.2213730728</v>
      </c>
      <c r="K172" s="45">
        <f t="shared" si="9"/>
        <v>3.7999999999999999E-2</v>
      </c>
      <c r="L172" s="47">
        <v>160</v>
      </c>
      <c r="M172" s="5">
        <f t="shared" si="10"/>
        <v>0</v>
      </c>
      <c r="N172" s="48">
        <f>PPMT($K172/12,1,$C$5-L172+1,$B$5+SUM($N$13:N171),0)</f>
        <v>-32356.928827490949</v>
      </c>
      <c r="O172" s="48">
        <f>-($B$5+SUM($N$13:$N171))*$K172/12</f>
        <v>-9444.1818992127337</v>
      </c>
      <c r="P172" s="48">
        <f t="shared" si="11"/>
        <v>-41801.110726703686</v>
      </c>
      <c r="Q172" s="48">
        <f>($B$5+SUM($D$13:$D172))</f>
        <v>5983670.2213730728</v>
      </c>
    </row>
    <row r="173" spans="2:17">
      <c r="B173" s="45">
        <f>'Ипотечный калькулятор'!$C$21</f>
        <v>0.29000000000000004</v>
      </c>
      <c r="C173" s="46">
        <v>161</v>
      </c>
      <c r="D173" s="48">
        <f>PPMT($B173/12,1,$C$5-C173+1,$B$5+SUM($D$13:D172),0)</f>
        <v>-25125.171408305552</v>
      </c>
      <c r="E173" s="48">
        <f>IFERROR(-($B$5+SUM($D$13:$D172))*$B173/12,0)</f>
        <v>-144605.3636831826</v>
      </c>
      <c r="F173" s="48">
        <f t="shared" si="8"/>
        <v>-169730.53509148816</v>
      </c>
      <c r="G173" s="48">
        <f>($B$5+SUM($D$13:$D173))</f>
        <v>5958545.0499647669</v>
      </c>
      <c r="K173" s="45">
        <f t="shared" si="9"/>
        <v>3.7999999999999999E-2</v>
      </c>
      <c r="L173" s="46">
        <v>161</v>
      </c>
      <c r="M173" s="5">
        <f t="shared" si="10"/>
        <v>0</v>
      </c>
      <c r="N173" s="48">
        <f>PPMT($K173/12,1,$C$5-L173+1,$B$5+SUM($N$13:N172),0)</f>
        <v>-32459.392435444664</v>
      </c>
      <c r="O173" s="48">
        <f>-($B$5+SUM($N$13:$N172))*$K173/12</f>
        <v>-9341.7182912590124</v>
      </c>
      <c r="P173" s="48">
        <f t="shared" si="11"/>
        <v>-41801.110726703679</v>
      </c>
      <c r="Q173" s="48">
        <f>($B$5+SUM($D$13:$D173))</f>
        <v>5958545.0499647669</v>
      </c>
    </row>
    <row r="174" spans="2:17">
      <c r="B174" s="45">
        <f>'Ипотечный калькулятор'!$C$21</f>
        <v>0.29000000000000004</v>
      </c>
      <c r="C174" s="47">
        <v>162</v>
      </c>
      <c r="D174" s="48">
        <f>PPMT($B174/12,1,$C$5-C174+1,$B$5+SUM($D$13:D173),0)</f>
        <v>-25732.363050672939</v>
      </c>
      <c r="E174" s="48">
        <f>IFERROR(-($B$5+SUM($D$13:$D173))*$B174/12,0)</f>
        <v>-143998.1720408152</v>
      </c>
      <c r="F174" s="48">
        <f t="shared" si="8"/>
        <v>-169730.53509148816</v>
      </c>
      <c r="G174" s="48">
        <f>($B$5+SUM($D$13:$D174))</f>
        <v>5932812.6869140938</v>
      </c>
      <c r="K174" s="45">
        <f t="shared" si="9"/>
        <v>3.7999999999999999E-2</v>
      </c>
      <c r="L174" s="47">
        <v>162</v>
      </c>
      <c r="M174" s="5">
        <f t="shared" si="10"/>
        <v>0</v>
      </c>
      <c r="N174" s="48">
        <f>PPMT($K174/12,1,$C$5-L174+1,$B$5+SUM($N$13:N173),0)</f>
        <v>-32562.180511490238</v>
      </c>
      <c r="O174" s="48">
        <f>-($B$5+SUM($N$13:$N173))*$K174/12</f>
        <v>-9238.9302152134369</v>
      </c>
      <c r="P174" s="48">
        <f t="shared" si="11"/>
        <v>-41801.110726703671</v>
      </c>
      <c r="Q174" s="48">
        <f>($B$5+SUM($D$13:$D174))</f>
        <v>5932812.6869140938</v>
      </c>
    </row>
    <row r="175" spans="2:17">
      <c r="B175" s="45">
        <f>'Ипотечный калькулятор'!$C$21</f>
        <v>0.29000000000000004</v>
      </c>
      <c r="C175" s="46">
        <v>163</v>
      </c>
      <c r="D175" s="48">
        <f>PPMT($B175/12,1,$C$5-C175+1,$B$5+SUM($D$13:D174),0)</f>
        <v>-26354.228491064201</v>
      </c>
      <c r="E175" s="48">
        <f>IFERROR(-($B$5+SUM($D$13:$D174))*$B175/12,0)</f>
        <v>-143376.30660042397</v>
      </c>
      <c r="F175" s="48">
        <f t="shared" si="8"/>
        <v>-169730.53509148816</v>
      </c>
      <c r="G175" s="48">
        <f>($B$5+SUM($D$13:$D175))</f>
        <v>5906458.4584230296</v>
      </c>
      <c r="K175" s="45">
        <f t="shared" si="9"/>
        <v>3.7999999999999999E-2</v>
      </c>
      <c r="L175" s="46">
        <v>163</v>
      </c>
      <c r="M175" s="5">
        <f t="shared" si="10"/>
        <v>0</v>
      </c>
      <c r="N175" s="48">
        <f>PPMT($K175/12,1,$C$5-L175+1,$B$5+SUM($N$13:N174),0)</f>
        <v>-32665.294083109962</v>
      </c>
      <c r="O175" s="48">
        <f>-($B$5+SUM($N$13:$N174))*$K175/12</f>
        <v>-9135.8166435937183</v>
      </c>
      <c r="P175" s="48">
        <f t="shared" si="11"/>
        <v>-41801.110726703679</v>
      </c>
      <c r="Q175" s="48">
        <f>($B$5+SUM($D$13:$D175))</f>
        <v>5906458.4584230296</v>
      </c>
    </row>
    <row r="176" spans="2:17">
      <c r="B176" s="45">
        <f>'Ипотечный калькулятор'!$C$21</f>
        <v>0.29000000000000004</v>
      </c>
      <c r="C176" s="47">
        <v>164</v>
      </c>
      <c r="D176" s="48">
        <f>PPMT($B176/12,1,$C$5-C176+1,$B$5+SUM($D$13:D175),0)</f>
        <v>-26991.122346264918</v>
      </c>
      <c r="E176" s="48">
        <f>IFERROR(-($B$5+SUM($D$13:$D175))*$B176/12,0)</f>
        <v>-142739.41274522324</v>
      </c>
      <c r="F176" s="48">
        <f t="shared" si="8"/>
        <v>-169730.53509148816</v>
      </c>
      <c r="G176" s="48">
        <f>($B$5+SUM($D$13:$D176))</f>
        <v>5879467.3360767653</v>
      </c>
      <c r="K176" s="45">
        <f t="shared" si="9"/>
        <v>3.7999999999999999E-2</v>
      </c>
      <c r="L176" s="47">
        <v>164</v>
      </c>
      <c r="M176" s="5">
        <f t="shared" si="10"/>
        <v>0</v>
      </c>
      <c r="N176" s="48">
        <f>PPMT($K176/12,1,$C$5-L176+1,$B$5+SUM($N$13:N175),0)</f>
        <v>-32768.734181039807</v>
      </c>
      <c r="O176" s="48">
        <f>-($B$5+SUM($N$13:$N175))*$K176/12</f>
        <v>-9032.3765456638703</v>
      </c>
      <c r="P176" s="48">
        <f t="shared" si="11"/>
        <v>-41801.110726703679</v>
      </c>
      <c r="Q176" s="48">
        <f>($B$5+SUM($D$13:$D176))</f>
        <v>5879467.3360767653</v>
      </c>
    </row>
    <row r="177" spans="2:17">
      <c r="B177" s="45">
        <f>'Ипотечный калькулятор'!$C$21</f>
        <v>0.29000000000000004</v>
      </c>
      <c r="C177" s="46">
        <v>165</v>
      </c>
      <c r="D177" s="48">
        <f>PPMT($B177/12,1,$C$5-C177+1,$B$5+SUM($D$13:D176),0)</f>
        <v>-27643.407802966321</v>
      </c>
      <c r="E177" s="48">
        <f>IFERROR(-($B$5+SUM($D$13:$D176))*$B177/12,0)</f>
        <v>-142087.12728852185</v>
      </c>
      <c r="F177" s="48">
        <f t="shared" si="8"/>
        <v>-169730.53509148816</v>
      </c>
      <c r="G177" s="48">
        <f>($B$5+SUM($D$13:$D177))</f>
        <v>5851823.9282737989</v>
      </c>
      <c r="K177" s="45">
        <f t="shared" si="9"/>
        <v>3.7999999999999999E-2</v>
      </c>
      <c r="L177" s="46">
        <v>165</v>
      </c>
      <c r="M177" s="5">
        <f t="shared" si="10"/>
        <v>0</v>
      </c>
      <c r="N177" s="48">
        <f>PPMT($K177/12,1,$C$5-L177+1,$B$5+SUM($N$13:N176),0)</f>
        <v>-32872.501839279765</v>
      </c>
      <c r="O177" s="48">
        <f>-($B$5+SUM($N$13:$N176))*$K177/12</f>
        <v>-8928.6088874239085</v>
      </c>
      <c r="P177" s="48">
        <f t="shared" si="11"/>
        <v>-41801.110726703671</v>
      </c>
      <c r="Q177" s="48">
        <f>($B$5+SUM($D$13:$D177))</f>
        <v>5851823.9282737989</v>
      </c>
    </row>
    <row r="178" spans="2:17">
      <c r="B178" s="45">
        <f>'Ипотечный калькулятор'!$C$21</f>
        <v>0.29000000000000004</v>
      </c>
      <c r="C178" s="47">
        <v>166</v>
      </c>
      <c r="D178" s="48">
        <f>PPMT($B178/12,1,$C$5-C178+1,$B$5+SUM($D$13:D177),0)</f>
        <v>-28311.456824871337</v>
      </c>
      <c r="E178" s="48">
        <f>IFERROR(-($B$5+SUM($D$13:$D177))*$B178/12,0)</f>
        <v>-141419.07826661682</v>
      </c>
      <c r="F178" s="48">
        <f t="shared" si="8"/>
        <v>-169730.53509148816</v>
      </c>
      <c r="G178" s="48">
        <f>($B$5+SUM($D$13:$D178))</f>
        <v>5823512.4714489272</v>
      </c>
      <c r="K178" s="45">
        <f t="shared" si="9"/>
        <v>3.7999999999999999E-2</v>
      </c>
      <c r="L178" s="47">
        <v>166</v>
      </c>
      <c r="M178" s="5">
        <f t="shared" si="10"/>
        <v>0</v>
      </c>
      <c r="N178" s="48">
        <f>PPMT($K178/12,1,$C$5-L178+1,$B$5+SUM($N$13:N177),0)</f>
        <v>-32976.598095104149</v>
      </c>
      <c r="O178" s="48">
        <f>-($B$5+SUM($N$13:$N177))*$K178/12</f>
        <v>-8824.512631599524</v>
      </c>
      <c r="P178" s="48">
        <f t="shared" si="11"/>
        <v>-41801.110726703671</v>
      </c>
      <c r="Q178" s="48">
        <f>($B$5+SUM($D$13:$D178))</f>
        <v>5823512.4714489272</v>
      </c>
    </row>
    <row r="179" spans="2:17">
      <c r="B179" s="45">
        <f>'Ипотечный калькулятор'!$C$21</f>
        <v>0.29000000000000004</v>
      </c>
      <c r="C179" s="46">
        <v>167</v>
      </c>
      <c r="D179" s="48">
        <f>PPMT($B179/12,1,$C$5-C179+1,$B$5+SUM($D$13:D178),0)</f>
        <v>-28995.650364805733</v>
      </c>
      <c r="E179" s="48">
        <f>IFERROR(-($B$5+SUM($D$13:$D178))*$B179/12,0)</f>
        <v>-140734.88472668242</v>
      </c>
      <c r="F179" s="48">
        <f t="shared" si="8"/>
        <v>-169730.53509148816</v>
      </c>
      <c r="G179" s="48">
        <f>($B$5+SUM($D$13:$D179))</f>
        <v>5794516.8210841212</v>
      </c>
      <c r="K179" s="45">
        <f t="shared" si="9"/>
        <v>3.7999999999999999E-2</v>
      </c>
      <c r="L179" s="46">
        <v>167</v>
      </c>
      <c r="M179" s="5">
        <f t="shared" si="10"/>
        <v>0</v>
      </c>
      <c r="N179" s="48">
        <f>PPMT($K179/12,1,$C$5-L179+1,$B$5+SUM($N$13:N178),0)</f>
        <v>-33081.023989071982</v>
      </c>
      <c r="O179" s="48">
        <f>-($B$5+SUM($N$13:$N178))*$K179/12</f>
        <v>-8720.0867376316946</v>
      </c>
      <c r="P179" s="48">
        <f t="shared" si="11"/>
        <v>-41801.110726703679</v>
      </c>
      <c r="Q179" s="48">
        <f>($B$5+SUM($D$13:$D179))</f>
        <v>5794516.8210841212</v>
      </c>
    </row>
    <row r="180" spans="2:17">
      <c r="B180" s="45">
        <f>'Ипотечный калькулятор'!$C$21</f>
        <v>0.29000000000000004</v>
      </c>
      <c r="C180" s="47">
        <v>168</v>
      </c>
      <c r="D180" s="48">
        <f>PPMT($B180/12,1,$C$5-C180+1,$B$5+SUM($D$13:D179),0)</f>
        <v>-29696.378581955199</v>
      </c>
      <c r="E180" s="48">
        <f>IFERROR(-($B$5+SUM($D$13:$D179))*$B180/12,0)</f>
        <v>-140034.15650953294</v>
      </c>
      <c r="F180" s="48">
        <f t="shared" si="8"/>
        <v>-169730.53509148816</v>
      </c>
      <c r="G180" s="48">
        <f>($B$5+SUM($D$13:$D180))</f>
        <v>5764820.4425021671</v>
      </c>
      <c r="K180" s="45">
        <f t="shared" si="9"/>
        <v>3.7999999999999999E-2</v>
      </c>
      <c r="L180" s="47">
        <v>168</v>
      </c>
      <c r="M180" s="5">
        <f t="shared" si="10"/>
        <v>0</v>
      </c>
      <c r="N180" s="48">
        <f>PPMT($K180/12,1,$C$5-L180+1,$B$5+SUM($N$13:N179),0)</f>
        <v>-33185.780565037378</v>
      </c>
      <c r="O180" s="48">
        <f>-($B$5+SUM($N$13:$N179))*$K180/12</f>
        <v>-8615.3301616662993</v>
      </c>
      <c r="P180" s="48">
        <f t="shared" si="11"/>
        <v>-41801.110726703679</v>
      </c>
      <c r="Q180" s="48">
        <f>($B$5+SUM($D$13:$D180))</f>
        <v>5764820.4425021671</v>
      </c>
    </row>
    <row r="181" spans="2:17">
      <c r="B181" s="45">
        <f>'Ипотечный калькулятор'!$C$21</f>
        <v>0.29000000000000004</v>
      </c>
      <c r="C181" s="46">
        <v>169</v>
      </c>
      <c r="D181" s="48">
        <f>PPMT($B181/12,1,$C$5-C181+1,$B$5+SUM($D$13:D180),0)</f>
        <v>-30414.041064352463</v>
      </c>
      <c r="E181" s="48">
        <f>IFERROR(-($B$5+SUM($D$13:$D180))*$B181/12,0)</f>
        <v>-139316.49402713572</v>
      </c>
      <c r="F181" s="48">
        <f t="shared" si="8"/>
        <v>-169730.53509148819</v>
      </c>
      <c r="G181" s="48">
        <f>($B$5+SUM($D$13:$D181))</f>
        <v>5734406.4014378143</v>
      </c>
      <c r="K181" s="45">
        <f t="shared" si="9"/>
        <v>3.7999999999999999E-2</v>
      </c>
      <c r="L181" s="46">
        <v>169</v>
      </c>
      <c r="M181" s="5">
        <f t="shared" si="10"/>
        <v>0</v>
      </c>
      <c r="N181" s="48">
        <f>PPMT($K181/12,1,$C$5-L181+1,$B$5+SUM($N$13:N180),0)</f>
        <v>-33290.868870159989</v>
      </c>
      <c r="O181" s="48">
        <f>-($B$5+SUM($N$13:$N180))*$K181/12</f>
        <v>-8510.2418565436801</v>
      </c>
      <c r="P181" s="48">
        <f t="shared" si="11"/>
        <v>-41801.110726703671</v>
      </c>
      <c r="Q181" s="48">
        <f>($B$5+SUM($D$13:$D181))</f>
        <v>5734406.4014378143</v>
      </c>
    </row>
    <row r="182" spans="2:17">
      <c r="B182" s="45">
        <f>'Ипотечный калькулятор'!$C$21</f>
        <v>0.29000000000000004</v>
      </c>
      <c r="C182" s="47">
        <v>170</v>
      </c>
      <c r="D182" s="48">
        <f>PPMT($B182/12,1,$C$5-C182+1,$B$5+SUM($D$13:D181),0)</f>
        <v>-31149.047056740976</v>
      </c>
      <c r="E182" s="48">
        <f>IFERROR(-($B$5+SUM($D$13:$D181))*$B182/12,0)</f>
        <v>-138581.48803474719</v>
      </c>
      <c r="F182" s="48">
        <f t="shared" si="8"/>
        <v>-169730.53509148816</v>
      </c>
      <c r="G182" s="48">
        <f>($B$5+SUM($D$13:$D182))</f>
        <v>5703257.3543810733</v>
      </c>
      <c r="K182" s="45">
        <f t="shared" si="9"/>
        <v>3.7999999999999999E-2</v>
      </c>
      <c r="L182" s="47">
        <v>170</v>
      </c>
      <c r="M182" s="5">
        <f t="shared" si="10"/>
        <v>0</v>
      </c>
      <c r="N182" s="48">
        <f>PPMT($K182/12,1,$C$5-L182+1,$B$5+SUM($N$13:N181),0)</f>
        <v>-33396.289954915512</v>
      </c>
      <c r="O182" s="48">
        <f>-($B$5+SUM($N$13:$N181))*$K182/12</f>
        <v>-8404.820771788176</v>
      </c>
      <c r="P182" s="48">
        <f t="shared" si="11"/>
        <v>-41801.110726703686</v>
      </c>
      <c r="Q182" s="48">
        <f>($B$5+SUM($D$13:$D182))</f>
        <v>5703257.3543810733</v>
      </c>
    </row>
    <row r="183" spans="2:17">
      <c r="B183" s="45">
        <f>'Ипотечный калькулятор'!$C$21</f>
        <v>0.29000000000000004</v>
      </c>
      <c r="C183" s="46">
        <v>171</v>
      </c>
      <c r="D183" s="48">
        <f>PPMT($B183/12,1,$C$5-C183+1,$B$5+SUM($D$13:D182),0)</f>
        <v>-31901.815693945551</v>
      </c>
      <c r="E183" s="48">
        <f>IFERROR(-($B$5+SUM($D$13:$D182))*$B183/12,0)</f>
        <v>-137828.71939754262</v>
      </c>
      <c r="F183" s="48">
        <f t="shared" si="8"/>
        <v>-169730.53509148816</v>
      </c>
      <c r="G183" s="48">
        <f>($B$5+SUM($D$13:$D183))</f>
        <v>5671355.5386871276</v>
      </c>
      <c r="K183" s="45">
        <f t="shared" si="9"/>
        <v>3.7999999999999999E-2</v>
      </c>
      <c r="L183" s="46">
        <v>171</v>
      </c>
      <c r="M183" s="5">
        <f t="shared" si="10"/>
        <v>0</v>
      </c>
      <c r="N183" s="48">
        <f>PPMT($K183/12,1,$C$5-L183+1,$B$5+SUM($N$13:N182),0)</f>
        <v>-33502.044873106068</v>
      </c>
      <c r="O183" s="48">
        <f>-($B$5+SUM($N$13:$N182))*$K183/12</f>
        <v>-8299.065853597609</v>
      </c>
      <c r="P183" s="48">
        <f t="shared" si="11"/>
        <v>-41801.110726703679</v>
      </c>
      <c r="Q183" s="48">
        <f>($B$5+SUM($D$13:$D183))</f>
        <v>5671355.5386871276</v>
      </c>
    </row>
    <row r="184" spans="2:17">
      <c r="B184" s="45">
        <f>'Ипотечный калькулятор'!$C$21</f>
        <v>0.29000000000000004</v>
      </c>
      <c r="C184" s="47">
        <v>172</v>
      </c>
      <c r="D184" s="48">
        <f>PPMT($B184/12,1,$C$5-C184+1,$B$5+SUM($D$13:D183),0)</f>
        <v>-32672.776239882562</v>
      </c>
      <c r="E184" s="48">
        <f>IFERROR(-($B$5+SUM($D$13:$D183))*$B184/12,0)</f>
        <v>-137057.75885160561</v>
      </c>
      <c r="F184" s="48">
        <f t="shared" si="8"/>
        <v>-169730.53509148819</v>
      </c>
      <c r="G184" s="48">
        <f>($B$5+SUM($D$13:$D184))</f>
        <v>5638682.7624472454</v>
      </c>
      <c r="K184" s="45">
        <f t="shared" si="9"/>
        <v>3.7999999999999999E-2</v>
      </c>
      <c r="L184" s="47">
        <v>172</v>
      </c>
      <c r="M184" s="5">
        <f t="shared" si="10"/>
        <v>0</v>
      </c>
      <c r="N184" s="48">
        <f>PPMT($K184/12,1,$C$5-L184+1,$B$5+SUM($N$13:N183),0)</f>
        <v>-33608.134681870899</v>
      </c>
      <c r="O184" s="48">
        <f>-($B$5+SUM($N$13:$N183))*$K184/12</f>
        <v>-8192.9760448327725</v>
      </c>
      <c r="P184" s="48">
        <f t="shared" si="11"/>
        <v>-41801.110726703671</v>
      </c>
      <c r="Q184" s="48">
        <f>($B$5+SUM($D$13:$D184))</f>
        <v>5638682.7624472454</v>
      </c>
    </row>
    <row r="185" spans="2:17">
      <c r="B185" s="45">
        <f>'Ипотечный калькулятор'!$C$21</f>
        <v>0.29000000000000004</v>
      </c>
      <c r="C185" s="46">
        <v>173</v>
      </c>
      <c r="D185" s="48">
        <f>PPMT($B185/12,1,$C$5-C185+1,$B$5+SUM($D$13:D184),0)</f>
        <v>-33462.368332346399</v>
      </c>
      <c r="E185" s="48">
        <f>IFERROR(-($B$5+SUM($D$13:$D184))*$B185/12,0)</f>
        <v>-136268.16675914178</v>
      </c>
      <c r="F185" s="48">
        <f t="shared" si="8"/>
        <v>-169730.53509148819</v>
      </c>
      <c r="G185" s="48">
        <f>($B$5+SUM($D$13:$D185))</f>
        <v>5605220.3941148985</v>
      </c>
      <c r="K185" s="45">
        <f t="shared" si="9"/>
        <v>3.7999999999999999E-2</v>
      </c>
      <c r="L185" s="46">
        <v>173</v>
      </c>
      <c r="M185" s="5">
        <f t="shared" si="10"/>
        <v>0</v>
      </c>
      <c r="N185" s="48">
        <f>PPMT($K185/12,1,$C$5-L185+1,$B$5+SUM($N$13:N184),0)</f>
        <v>-33714.56044169682</v>
      </c>
      <c r="O185" s="48">
        <f>-($B$5+SUM($N$13:$N184))*$K185/12</f>
        <v>-8086.5502850068469</v>
      </c>
      <c r="P185" s="48">
        <f t="shared" si="11"/>
        <v>-41801.110726703664</v>
      </c>
      <c r="Q185" s="48">
        <f>($B$5+SUM($D$13:$D185))</f>
        <v>5605220.3941148985</v>
      </c>
    </row>
    <row r="186" spans="2:17">
      <c r="B186" s="45">
        <f>'Ипотечный калькулятор'!$C$21</f>
        <v>0.29000000000000004</v>
      </c>
      <c r="C186" s="47">
        <v>174</v>
      </c>
      <c r="D186" s="48">
        <f>PPMT($B186/12,1,$C$5-C186+1,$B$5+SUM($D$13:D185),0)</f>
        <v>-34271.042233711429</v>
      </c>
      <c r="E186" s="48">
        <f>IFERROR(-($B$5+SUM($D$13:$D185))*$B186/12,0)</f>
        <v>-135459.49285777673</v>
      </c>
      <c r="F186" s="48">
        <f t="shared" si="8"/>
        <v>-169730.53509148816</v>
      </c>
      <c r="G186" s="48">
        <f>($B$5+SUM($D$13:$D186))</f>
        <v>5570949.3518811874</v>
      </c>
      <c r="K186" s="45">
        <f t="shared" si="9"/>
        <v>3.7999999999999999E-2</v>
      </c>
      <c r="L186" s="47">
        <v>174</v>
      </c>
      <c r="M186" s="5">
        <f t="shared" si="10"/>
        <v>0</v>
      </c>
      <c r="N186" s="48">
        <f>PPMT($K186/12,1,$C$5-L186+1,$B$5+SUM($N$13:N185),0)</f>
        <v>-33821.323216428857</v>
      </c>
      <c r="O186" s="48">
        <f>-($B$5+SUM($N$13:$N185))*$K186/12</f>
        <v>-7979.7875102748067</v>
      </c>
      <c r="P186" s="48">
        <f t="shared" si="11"/>
        <v>-41801.110726703664</v>
      </c>
      <c r="Q186" s="48">
        <f>($B$5+SUM($D$13:$D186))</f>
        <v>5570949.3518811874</v>
      </c>
    </row>
    <row r="187" spans="2:17">
      <c r="B187" s="45">
        <f>'Ипотечный калькулятор'!$C$21</f>
        <v>0.29000000000000004</v>
      </c>
      <c r="C187" s="46">
        <v>175</v>
      </c>
      <c r="D187" s="48">
        <f>PPMT($B187/12,1,$C$5-C187+1,$B$5+SUM($D$13:D186),0)</f>
        <v>-35099.259087692786</v>
      </c>
      <c r="E187" s="48">
        <f>IFERROR(-($B$5+SUM($D$13:$D186))*$B187/12,0)</f>
        <v>-134631.27600379538</v>
      </c>
      <c r="F187" s="48">
        <f t="shared" si="8"/>
        <v>-169730.53509148816</v>
      </c>
      <c r="G187" s="48">
        <f>($B$5+SUM($D$13:$D187))</f>
        <v>5535850.0927934945</v>
      </c>
      <c r="K187" s="45">
        <f t="shared" si="9"/>
        <v>3.7999999999999999E-2</v>
      </c>
      <c r="L187" s="46">
        <v>175</v>
      </c>
      <c r="M187" s="5">
        <f t="shared" si="10"/>
        <v>0</v>
      </c>
      <c r="N187" s="48">
        <f>PPMT($K187/12,1,$C$5-L187+1,$B$5+SUM($N$13:N186),0)</f>
        <v>-33928.42407328089</v>
      </c>
      <c r="O187" s="48">
        <f>-($B$5+SUM($N$13:$N186))*$K187/12</f>
        <v>-7872.6866534227811</v>
      </c>
      <c r="P187" s="48">
        <f t="shared" si="11"/>
        <v>-41801.110726703671</v>
      </c>
      <c r="Q187" s="48">
        <f>($B$5+SUM($D$13:$D187))</f>
        <v>5535850.0927934945</v>
      </c>
    </row>
    <row r="188" spans="2:17">
      <c r="B188" s="45">
        <f>'Ипотечный калькулятор'!$C$21</f>
        <v>0.29000000000000004</v>
      </c>
      <c r="C188" s="47">
        <v>176</v>
      </c>
      <c r="D188" s="48">
        <f>PPMT($B188/12,1,$C$5-C188+1,$B$5+SUM($D$13:D187),0)</f>
        <v>-35947.491182312035</v>
      </c>
      <c r="E188" s="48">
        <f>IFERROR(-($B$5+SUM($D$13:$D187))*$B188/12,0)</f>
        <v>-133783.04390917614</v>
      </c>
      <c r="F188" s="48">
        <f t="shared" si="8"/>
        <v>-169730.53509148816</v>
      </c>
      <c r="G188" s="48">
        <f>($B$5+SUM($D$13:$D188))</f>
        <v>5499902.6016111821</v>
      </c>
      <c r="K188" s="45">
        <f t="shared" si="9"/>
        <v>3.7999999999999999E-2</v>
      </c>
      <c r="L188" s="47">
        <v>176</v>
      </c>
      <c r="M188" s="5">
        <f t="shared" si="10"/>
        <v>0</v>
      </c>
      <c r="N188" s="48">
        <f>PPMT($K188/12,1,$C$5-L188+1,$B$5+SUM($N$13:N187),0)</f>
        <v>-34035.864082846274</v>
      </c>
      <c r="O188" s="48">
        <f>-($B$5+SUM($N$13:$N187))*$K188/12</f>
        <v>-7765.2466438573929</v>
      </c>
      <c r="P188" s="48">
        <f t="shared" si="11"/>
        <v>-41801.110726703664</v>
      </c>
      <c r="Q188" s="48">
        <f>($B$5+SUM($D$13:$D188))</f>
        <v>5499902.6016111821</v>
      </c>
    </row>
    <row r="189" spans="2:17">
      <c r="B189" s="45">
        <f>'Ипотечный калькулятор'!$C$21</f>
        <v>0.29000000000000004</v>
      </c>
      <c r="C189" s="46">
        <v>177</v>
      </c>
      <c r="D189" s="48">
        <f>PPMT($B189/12,1,$C$5-C189+1,$B$5+SUM($D$13:D188),0)</f>
        <v>-36816.222219217903</v>
      </c>
      <c r="E189" s="48">
        <f>IFERROR(-($B$5+SUM($D$13:$D188))*$B189/12,0)</f>
        <v>-132914.31287227027</v>
      </c>
      <c r="F189" s="48">
        <f t="shared" si="8"/>
        <v>-169730.53509148816</v>
      </c>
      <c r="G189" s="48">
        <f>($B$5+SUM($D$13:$D189))</f>
        <v>5463086.3793919645</v>
      </c>
      <c r="K189" s="45">
        <f t="shared" si="9"/>
        <v>3.7999999999999999E-2</v>
      </c>
      <c r="L189" s="46">
        <v>177</v>
      </c>
      <c r="M189" s="5">
        <f t="shared" si="10"/>
        <v>0</v>
      </c>
      <c r="N189" s="48">
        <f>PPMT($K189/12,1,$C$5-L189+1,$B$5+SUM($N$13:N188),0)</f>
        <v>-34143.644319108622</v>
      </c>
      <c r="O189" s="48">
        <f>-($B$5+SUM($N$13:$N188))*$K189/12</f>
        <v>-7657.4664075950468</v>
      </c>
      <c r="P189" s="48">
        <f t="shared" si="11"/>
        <v>-41801.110726703671</v>
      </c>
      <c r="Q189" s="48">
        <f>($B$5+SUM($D$13:$D189))</f>
        <v>5463086.3793919645</v>
      </c>
    </row>
    <row r="190" spans="2:17">
      <c r="B190" s="45">
        <f>'Ипотечный калькулятор'!$C$21</f>
        <v>0.29000000000000004</v>
      </c>
      <c r="C190" s="47">
        <v>178</v>
      </c>
      <c r="D190" s="48">
        <f>PPMT($B190/12,1,$C$5-C190+1,$B$5+SUM($D$13:D189),0)</f>
        <v>-37705.947589515679</v>
      </c>
      <c r="E190" s="48">
        <f>IFERROR(-($B$5+SUM($D$13:$D189))*$B190/12,0)</f>
        <v>-132024.58750197248</v>
      </c>
      <c r="F190" s="48">
        <f t="shared" si="8"/>
        <v>-169730.53509148816</v>
      </c>
      <c r="G190" s="48">
        <f>($B$5+SUM($D$13:$D190))</f>
        <v>5425380.4318024488</v>
      </c>
      <c r="K190" s="45">
        <f t="shared" si="9"/>
        <v>3.7999999999999999E-2</v>
      </c>
      <c r="L190" s="47">
        <v>178</v>
      </c>
      <c r="M190" s="5">
        <f t="shared" si="10"/>
        <v>0</v>
      </c>
      <c r="N190" s="48">
        <f>PPMT($K190/12,1,$C$5-L190+1,$B$5+SUM($N$13:N189),0)</f>
        <v>-34251.765859452469</v>
      </c>
      <c r="O190" s="48">
        <f>-($B$5+SUM($N$13:$N189))*$K190/12</f>
        <v>-7549.3448672512031</v>
      </c>
      <c r="P190" s="48">
        <f t="shared" si="11"/>
        <v>-41801.110726703671</v>
      </c>
      <c r="Q190" s="48">
        <f>($B$5+SUM($D$13:$D190))</f>
        <v>5425380.4318024488</v>
      </c>
    </row>
    <row r="191" spans="2:17">
      <c r="B191" s="45">
        <f>'Ипотечный калькулятор'!$C$21</f>
        <v>0.29000000000000004</v>
      </c>
      <c r="C191" s="46">
        <v>179</v>
      </c>
      <c r="D191" s="48">
        <f>PPMT($B191/12,1,$C$5-C191+1,$B$5+SUM($D$13:D190),0)</f>
        <v>-38617.174656262308</v>
      </c>
      <c r="E191" s="48">
        <f>IFERROR(-($B$5+SUM($D$13:$D190))*$B191/12,0)</f>
        <v>-131113.36043522586</v>
      </c>
      <c r="F191" s="48">
        <f t="shared" si="8"/>
        <v>-169730.53509148816</v>
      </c>
      <c r="G191" s="48">
        <f>($B$5+SUM($D$13:$D191))</f>
        <v>5386763.2571461862</v>
      </c>
      <c r="K191" s="45">
        <f t="shared" si="9"/>
        <v>3.7999999999999999E-2</v>
      </c>
      <c r="L191" s="46">
        <v>179</v>
      </c>
      <c r="M191" s="5">
        <f t="shared" si="10"/>
        <v>0</v>
      </c>
      <c r="N191" s="48">
        <f>PPMT($K191/12,1,$C$5-L191+1,$B$5+SUM($N$13:N190),0)</f>
        <v>-34360.229784674069</v>
      </c>
      <c r="O191" s="48">
        <f>-($B$5+SUM($N$13:$N190))*$K191/12</f>
        <v>-7440.8809420296047</v>
      </c>
      <c r="P191" s="48">
        <f t="shared" si="11"/>
        <v>-41801.110726703671</v>
      </c>
      <c r="Q191" s="48">
        <f>($B$5+SUM($D$13:$D191))</f>
        <v>5386763.2571461862</v>
      </c>
    </row>
    <row r="192" spans="2:17">
      <c r="B192" s="45">
        <f>'Ипотечный калькулятор'!$C$21</f>
        <v>0.29000000000000004</v>
      </c>
      <c r="C192" s="47">
        <v>180</v>
      </c>
      <c r="D192" s="48">
        <f>PPMT($B192/12,1,$C$5-C192+1,$B$5+SUM($D$13:D191),0)</f>
        <v>-39550.423043788644</v>
      </c>
      <c r="E192" s="48">
        <f>IFERROR(-($B$5+SUM($D$13:$D191))*$B192/12,0)</f>
        <v>-130180.11204769951</v>
      </c>
      <c r="F192" s="48">
        <f t="shared" si="8"/>
        <v>-169730.53509148816</v>
      </c>
      <c r="G192" s="48">
        <f>($B$5+SUM($D$13:$D192))</f>
        <v>5347212.8341023978</v>
      </c>
      <c r="K192" s="45">
        <f t="shared" si="9"/>
        <v>3.7999999999999999E-2</v>
      </c>
      <c r="L192" s="47">
        <v>180</v>
      </c>
      <c r="M192" s="5">
        <f t="shared" si="10"/>
        <v>0</v>
      </c>
      <c r="N192" s="48">
        <f>PPMT($K192/12,1,$C$5-L192+1,$B$5+SUM($N$13:N191),0)</f>
        <v>-34469.037178992214</v>
      </c>
      <c r="O192" s="48">
        <f>-($B$5+SUM($N$13:$N191))*$K192/12</f>
        <v>-7332.0735477114713</v>
      </c>
      <c r="P192" s="48">
        <f t="shared" si="11"/>
        <v>-41801.110726703686</v>
      </c>
      <c r="Q192" s="48">
        <f>($B$5+SUM($D$13:$D192))</f>
        <v>5347212.8341023978</v>
      </c>
    </row>
    <row r="193" spans="2:17">
      <c r="B193" s="45">
        <f>'Ипотечный калькулятор'!$C$21</f>
        <v>0.29000000000000004</v>
      </c>
      <c r="C193" s="46">
        <v>181</v>
      </c>
      <c r="D193" s="48">
        <f>PPMT($B193/12,1,$C$5-C193+1,$B$5+SUM($D$13:D192),0)</f>
        <v>-40506.224934013531</v>
      </c>
      <c r="E193" s="48">
        <f>IFERROR(-($B$5+SUM($D$13:$D192))*$B193/12,0)</f>
        <v>-129224.31015747464</v>
      </c>
      <c r="F193" s="48">
        <f t="shared" si="8"/>
        <v>-169730.53509148816</v>
      </c>
      <c r="G193" s="48">
        <f>($B$5+SUM($D$13:$D193))</f>
        <v>5306706.6091683842</v>
      </c>
      <c r="K193" s="45">
        <f t="shared" si="9"/>
        <v>3.7999999999999999E-2</v>
      </c>
      <c r="L193" s="46">
        <v>181</v>
      </c>
      <c r="M193" s="5">
        <f t="shared" si="10"/>
        <v>0</v>
      </c>
      <c r="N193" s="48">
        <f>PPMT($K193/12,1,$C$5-L193+1,$B$5+SUM($N$13:N192),0)</f>
        <v>-34578.189130059029</v>
      </c>
      <c r="O193" s="48">
        <f>-($B$5+SUM($N$13:$N192))*$K193/12</f>
        <v>-7222.9215966446618</v>
      </c>
      <c r="P193" s="48">
        <f t="shared" si="11"/>
        <v>-41801.110726703693</v>
      </c>
      <c r="Q193" s="48">
        <f>($B$5+SUM($D$13:$D193))</f>
        <v>5306706.6091683842</v>
      </c>
    </row>
    <row r="194" spans="2:17">
      <c r="B194" s="45">
        <f>'Ипотечный калькулятор'!$C$21</f>
        <v>0.29000000000000004</v>
      </c>
      <c r="C194" s="47">
        <v>182</v>
      </c>
      <c r="D194" s="48">
        <f>PPMT($B194/12,1,$C$5-C194+1,$B$5+SUM($D$13:D193),0)</f>
        <v>-41485.12536991886</v>
      </c>
      <c r="E194" s="48">
        <f>IFERROR(-($B$5+SUM($D$13:$D193))*$B194/12,0)</f>
        <v>-128245.40972156929</v>
      </c>
      <c r="F194" s="48">
        <f t="shared" si="8"/>
        <v>-169730.53509148816</v>
      </c>
      <c r="G194" s="48">
        <f>($B$5+SUM($D$13:$D194))</f>
        <v>5265221.4837984657</v>
      </c>
      <c r="K194" s="45">
        <f t="shared" si="9"/>
        <v>3.7999999999999999E-2</v>
      </c>
      <c r="L194" s="47">
        <v>182</v>
      </c>
      <c r="M194" s="5">
        <f t="shared" si="10"/>
        <v>0</v>
      </c>
      <c r="N194" s="48">
        <f>PPMT($K194/12,1,$C$5-L194+1,$B$5+SUM($N$13:N193),0)</f>
        <v>-34687.686728970868</v>
      </c>
      <c r="O194" s="48">
        <f>-($B$5+SUM($N$13:$N193))*$K194/12</f>
        <v>-7113.423997732807</v>
      </c>
      <c r="P194" s="48">
        <f t="shared" si="11"/>
        <v>-41801.110726703671</v>
      </c>
      <c r="Q194" s="48">
        <f>($B$5+SUM($D$13:$D194))</f>
        <v>5265221.4837984657</v>
      </c>
    </row>
    <row r="195" spans="2:17">
      <c r="B195" s="45">
        <f>'Ипотечный калькулятор'!$C$21</f>
        <v>0.29000000000000004</v>
      </c>
      <c r="C195" s="46">
        <v>183</v>
      </c>
      <c r="D195" s="48">
        <f>PPMT($B195/12,1,$C$5-C195+1,$B$5+SUM($D$13:D194),0)</f>
        <v>-42487.682566358562</v>
      </c>
      <c r="E195" s="48">
        <f>IFERROR(-($B$5+SUM($D$13:$D194))*$B195/12,0)</f>
        <v>-127242.85252512961</v>
      </c>
      <c r="F195" s="48">
        <f t="shared" si="8"/>
        <v>-169730.53509148816</v>
      </c>
      <c r="G195" s="48">
        <f>($B$5+SUM($D$13:$D195))</f>
        <v>5222733.801232107</v>
      </c>
      <c r="K195" s="45">
        <f t="shared" si="9"/>
        <v>3.7999999999999999E-2</v>
      </c>
      <c r="L195" s="46">
        <v>183</v>
      </c>
      <c r="M195" s="5">
        <f t="shared" si="10"/>
        <v>0</v>
      </c>
      <c r="N195" s="48">
        <f>PPMT($K195/12,1,$C$5-L195+1,$B$5+SUM($N$13:N194),0)</f>
        <v>-34797.53107027927</v>
      </c>
      <c r="O195" s="48">
        <f>-($B$5+SUM($N$13:$N194))*$K195/12</f>
        <v>-7003.5796564243983</v>
      </c>
      <c r="P195" s="48">
        <f t="shared" si="11"/>
        <v>-41801.110726703671</v>
      </c>
      <c r="Q195" s="48">
        <f>($B$5+SUM($D$13:$D195))</f>
        <v>5222733.801232107</v>
      </c>
    </row>
    <row r="196" spans="2:17">
      <c r="B196" s="45">
        <f>'Ипотечный калькулятор'!$C$21</f>
        <v>0.29000000000000004</v>
      </c>
      <c r="C196" s="47">
        <v>184</v>
      </c>
      <c r="D196" s="48">
        <f>PPMT($B196/12,1,$C$5-C196+1,$B$5+SUM($D$13:D195),0)</f>
        <v>-43514.468228378893</v>
      </c>
      <c r="E196" s="48">
        <f>IFERROR(-($B$5+SUM($D$13:$D195))*$B196/12,0)</f>
        <v>-126216.06686310926</v>
      </c>
      <c r="F196" s="48">
        <f t="shared" si="8"/>
        <v>-169730.53509148816</v>
      </c>
      <c r="G196" s="48">
        <f>($B$5+SUM($D$13:$D196))</f>
        <v>5179219.3330037277</v>
      </c>
      <c r="K196" s="45">
        <f t="shared" si="9"/>
        <v>3.7999999999999999E-2</v>
      </c>
      <c r="L196" s="47">
        <v>184</v>
      </c>
      <c r="M196" s="5">
        <f t="shared" si="10"/>
        <v>0</v>
      </c>
      <c r="N196" s="48">
        <f>PPMT($K196/12,1,$C$5-L196+1,$B$5+SUM($N$13:N195),0)</f>
        <v>-34907.72325200183</v>
      </c>
      <c r="O196" s="48">
        <f>-($B$5+SUM($N$13:$N195))*$K196/12</f>
        <v>-6893.3874747018481</v>
      </c>
      <c r="P196" s="48">
        <f t="shared" si="11"/>
        <v>-41801.110726703679</v>
      </c>
      <c r="Q196" s="48">
        <f>($B$5+SUM($D$13:$D196))</f>
        <v>5179219.3330037277</v>
      </c>
    </row>
    <row r="197" spans="2:17">
      <c r="B197" s="45">
        <f>'Ипотечный калькулятор'!$C$21</f>
        <v>0.29000000000000004</v>
      </c>
      <c r="C197" s="46">
        <v>185</v>
      </c>
      <c r="D197" s="48">
        <f>PPMT($B197/12,1,$C$5-C197+1,$B$5+SUM($D$13:D196),0)</f>
        <v>-44566.067877231391</v>
      </c>
      <c r="E197" s="48">
        <f>IFERROR(-($B$5+SUM($D$13:$D196))*$B197/12,0)</f>
        <v>-125164.46721425677</v>
      </c>
      <c r="F197" s="48">
        <f t="shared" si="8"/>
        <v>-169730.53509148816</v>
      </c>
      <c r="G197" s="48">
        <f>($B$5+SUM($D$13:$D197))</f>
        <v>5134653.2651264966</v>
      </c>
      <c r="K197" s="45">
        <f t="shared" si="9"/>
        <v>3.7999999999999999E-2</v>
      </c>
      <c r="L197" s="46">
        <v>185</v>
      </c>
      <c r="M197" s="5">
        <f t="shared" si="10"/>
        <v>0</v>
      </c>
      <c r="N197" s="48">
        <f>PPMT($K197/12,1,$C$5-L197+1,$B$5+SUM($N$13:N196),0)</f>
        <v>-35018.264375633167</v>
      </c>
      <c r="O197" s="48">
        <f>-($B$5+SUM($N$13:$N196))*$K197/12</f>
        <v>-6782.8463510705078</v>
      </c>
      <c r="P197" s="48">
        <f t="shared" si="11"/>
        <v>-41801.110726703671</v>
      </c>
      <c r="Q197" s="48">
        <f>($B$5+SUM($D$13:$D197))</f>
        <v>5134653.2651264966</v>
      </c>
    </row>
    <row r="198" spans="2:17">
      <c r="B198" s="45">
        <f>'Ипотечный калькулятор'!$C$21</f>
        <v>0.29000000000000004</v>
      </c>
      <c r="C198" s="47">
        <v>186</v>
      </c>
      <c r="D198" s="48">
        <f>PPMT($B198/12,1,$C$5-C198+1,$B$5+SUM($D$13:D197),0)</f>
        <v>-45643.081184264483</v>
      </c>
      <c r="E198" s="48">
        <f>IFERROR(-($B$5+SUM($D$13:$D197))*$B198/12,0)</f>
        <v>-124087.45390722369</v>
      </c>
      <c r="F198" s="48">
        <f t="shared" si="8"/>
        <v>-169730.53509148819</v>
      </c>
      <c r="G198" s="48">
        <f>($B$5+SUM($D$13:$D198))</f>
        <v>5089010.1839422323</v>
      </c>
      <c r="K198" s="45">
        <f t="shared" si="9"/>
        <v>3.7999999999999999E-2</v>
      </c>
      <c r="L198" s="47">
        <v>186</v>
      </c>
      <c r="M198" s="5">
        <f t="shared" si="10"/>
        <v>0</v>
      </c>
      <c r="N198" s="48">
        <f>PPMT($K198/12,1,$C$5-L198+1,$B$5+SUM($N$13:N197),0)</f>
        <v>-35129.155546155991</v>
      </c>
      <c r="O198" s="48">
        <f>-($B$5+SUM($N$13:$N197))*$K198/12</f>
        <v>-6671.9551805476685</v>
      </c>
      <c r="P198" s="48">
        <f t="shared" si="11"/>
        <v>-41801.110726703657</v>
      </c>
      <c r="Q198" s="48">
        <f>($B$5+SUM($D$13:$D198))</f>
        <v>5089010.1839422323</v>
      </c>
    </row>
    <row r="199" spans="2:17">
      <c r="B199" s="45">
        <f>'Ипотечный калькулятор'!$C$21</f>
        <v>0.29000000000000004</v>
      </c>
      <c r="C199" s="46">
        <v>187</v>
      </c>
      <c r="D199" s="48">
        <f>PPMT($B199/12,1,$C$5-C199+1,$B$5+SUM($D$13:D198),0)</f>
        <v>-46746.12231288421</v>
      </c>
      <c r="E199" s="48">
        <f>IFERROR(-($B$5+SUM($D$13:$D198))*$B199/12,0)</f>
        <v>-122984.41277860396</v>
      </c>
      <c r="F199" s="48">
        <f t="shared" si="8"/>
        <v>-169730.53509148816</v>
      </c>
      <c r="G199" s="48">
        <f>($B$5+SUM($D$13:$D199))</f>
        <v>5042264.0616293475</v>
      </c>
      <c r="K199" s="45">
        <f t="shared" si="9"/>
        <v>3.7999999999999999E-2</v>
      </c>
      <c r="L199" s="46">
        <v>187</v>
      </c>
      <c r="M199" s="5">
        <f t="shared" si="10"/>
        <v>0</v>
      </c>
      <c r="N199" s="48">
        <f>PPMT($K199/12,1,$C$5-L199+1,$B$5+SUM($N$13:N198),0)</f>
        <v>-35240.397872052155</v>
      </c>
      <c r="O199" s="48">
        <f>-($B$5+SUM($N$13:$N198))*$K199/12</f>
        <v>-6560.7128546515087</v>
      </c>
      <c r="P199" s="48">
        <f t="shared" si="11"/>
        <v>-41801.110726703664</v>
      </c>
      <c r="Q199" s="48">
        <f>($B$5+SUM($D$13:$D199))</f>
        <v>5042264.0616293475</v>
      </c>
    </row>
    <row r="200" spans="2:17">
      <c r="B200" s="45">
        <f>'Ипотечный калькулятор'!$C$21</f>
        <v>0.29000000000000004</v>
      </c>
      <c r="C200" s="47">
        <v>188</v>
      </c>
      <c r="D200" s="48">
        <f>PPMT($B200/12,1,$C$5-C200+1,$B$5+SUM($D$13:D199),0)</f>
        <v>-47875.820268778902</v>
      </c>
      <c r="E200" s="48">
        <f>IFERROR(-($B$5+SUM($D$13:$D199))*$B200/12,0)</f>
        <v>-121854.71482270925</v>
      </c>
      <c r="F200" s="48">
        <f t="shared" si="8"/>
        <v>-169730.53509148816</v>
      </c>
      <c r="G200" s="48">
        <f>($B$5+SUM($D$13:$D200))</f>
        <v>4994388.2413605694</v>
      </c>
      <c r="K200" s="45">
        <f t="shared" si="9"/>
        <v>3.7999999999999999E-2</v>
      </c>
      <c r="L200" s="47">
        <v>188</v>
      </c>
      <c r="M200" s="5">
        <f t="shared" si="10"/>
        <v>0</v>
      </c>
      <c r="N200" s="48">
        <f>PPMT($K200/12,1,$C$5-L200+1,$B$5+SUM($N$13:N199),0)</f>
        <v>-35351.992465313655</v>
      </c>
      <c r="O200" s="48">
        <f>-($B$5+SUM($N$13:$N199))*$K200/12</f>
        <v>-6449.11826139001</v>
      </c>
      <c r="P200" s="48">
        <f t="shared" si="11"/>
        <v>-41801.110726703664</v>
      </c>
      <c r="Q200" s="48">
        <f>($B$5+SUM($D$13:$D200))</f>
        <v>4994388.2413605694</v>
      </c>
    </row>
    <row r="201" spans="2:17">
      <c r="B201" s="45">
        <f>'Ипотечный калькулятор'!$C$21</f>
        <v>0.29000000000000004</v>
      </c>
      <c r="C201" s="46">
        <v>189</v>
      </c>
      <c r="D201" s="48">
        <f>PPMT($B201/12,1,$C$5-C201+1,$B$5+SUM($D$13:D200),0)</f>
        <v>-49032.819258607742</v>
      </c>
      <c r="E201" s="48">
        <f>IFERROR(-($B$5+SUM($D$13:$D200))*$B201/12,0)</f>
        <v>-120697.71583288045</v>
      </c>
      <c r="F201" s="48">
        <f t="shared" si="8"/>
        <v>-169730.53509148819</v>
      </c>
      <c r="G201" s="48">
        <f>($B$5+SUM($D$13:$D201))</f>
        <v>4945355.4221019614</v>
      </c>
      <c r="K201" s="45">
        <f t="shared" si="9"/>
        <v>3.7999999999999999E-2</v>
      </c>
      <c r="L201" s="46">
        <v>189</v>
      </c>
      <c r="M201" s="5">
        <f t="shared" si="10"/>
        <v>0</v>
      </c>
      <c r="N201" s="48">
        <f>PPMT($K201/12,1,$C$5-L201+1,$B$5+SUM($N$13:N200),0)</f>
        <v>-35463.940441453815</v>
      </c>
      <c r="O201" s="48">
        <f>-($B$5+SUM($N$13:$N200))*$K201/12</f>
        <v>-6337.1702852498502</v>
      </c>
      <c r="P201" s="48">
        <f t="shared" si="11"/>
        <v>-41801.110726703664</v>
      </c>
      <c r="Q201" s="48">
        <f>($B$5+SUM($D$13:$D201))</f>
        <v>4945355.4221019614</v>
      </c>
    </row>
    <row r="202" spans="2:17">
      <c r="B202" s="45">
        <f>'Ипотечный калькулятор'!$C$21</f>
        <v>0.29000000000000004</v>
      </c>
      <c r="C202" s="47">
        <v>190</v>
      </c>
      <c r="D202" s="48">
        <f>PPMT($B202/12,1,$C$5-C202+1,$B$5+SUM($D$13:D201),0)</f>
        <v>-50217.779057357424</v>
      </c>
      <c r="E202" s="48">
        <f>IFERROR(-($B$5+SUM($D$13:$D201))*$B202/12,0)</f>
        <v>-119512.75603413075</v>
      </c>
      <c r="F202" s="48">
        <f t="shared" si="8"/>
        <v>-169730.53509148819</v>
      </c>
      <c r="G202" s="48">
        <f>($B$5+SUM($D$13:$D202))</f>
        <v>4895137.643044604</v>
      </c>
      <c r="K202" s="45">
        <f t="shared" si="9"/>
        <v>3.7999999999999999E-2</v>
      </c>
      <c r="L202" s="47">
        <v>190</v>
      </c>
      <c r="M202" s="5">
        <f t="shared" si="10"/>
        <v>0</v>
      </c>
      <c r="N202" s="48">
        <f>PPMT($K202/12,1,$C$5-L202+1,$B$5+SUM($N$13:N201),0)</f>
        <v>-35576.242919518416</v>
      </c>
      <c r="O202" s="48">
        <f>-($B$5+SUM($N$13:$N201))*$K202/12</f>
        <v>-6224.8678071852473</v>
      </c>
      <c r="P202" s="48">
        <f t="shared" si="11"/>
        <v>-41801.110726703664</v>
      </c>
      <c r="Q202" s="48">
        <f>($B$5+SUM($D$13:$D202))</f>
        <v>4895137.643044604</v>
      </c>
    </row>
    <row r="203" spans="2:17">
      <c r="B203" s="45">
        <f>'Ипотечный калькулятор'!$C$21</f>
        <v>0.29000000000000004</v>
      </c>
      <c r="C203" s="46">
        <v>191</v>
      </c>
      <c r="D203" s="48">
        <f>PPMT($B203/12,1,$C$5-C203+1,$B$5+SUM($D$13:D202),0)</f>
        <v>-51431.375384576902</v>
      </c>
      <c r="E203" s="48">
        <f>IFERROR(-($B$5+SUM($D$13:$D202))*$B203/12,0)</f>
        <v>-118299.15970691129</v>
      </c>
      <c r="F203" s="48">
        <f t="shared" si="8"/>
        <v>-169730.53509148819</v>
      </c>
      <c r="G203" s="48">
        <f>($B$5+SUM($D$13:$D203))</f>
        <v>4843706.2676600274</v>
      </c>
      <c r="K203" s="45">
        <f t="shared" si="9"/>
        <v>3.7999999999999999E-2</v>
      </c>
      <c r="L203" s="46">
        <v>191</v>
      </c>
      <c r="M203" s="5">
        <f t="shared" si="10"/>
        <v>0</v>
      </c>
      <c r="N203" s="48">
        <f>PPMT($K203/12,1,$C$5-L203+1,$B$5+SUM($N$13:N202),0)</f>
        <v>-35688.901022096892</v>
      </c>
      <c r="O203" s="48">
        <f>-($B$5+SUM($N$13:$N202))*$K203/12</f>
        <v>-6112.2097046067711</v>
      </c>
      <c r="P203" s="48">
        <f t="shared" si="11"/>
        <v>-41801.110726703664</v>
      </c>
      <c r="Q203" s="48">
        <f>($B$5+SUM($D$13:$D203))</f>
        <v>4843706.2676600274</v>
      </c>
    </row>
    <row r="204" spans="2:17">
      <c r="B204" s="45">
        <f>'Ипотечный калькулятор'!$C$21</f>
        <v>0.29000000000000004</v>
      </c>
      <c r="C204" s="47">
        <v>192</v>
      </c>
      <c r="D204" s="48">
        <f>PPMT($B204/12,1,$C$5-C204+1,$B$5+SUM($D$13:D203),0)</f>
        <v>-52674.300289704159</v>
      </c>
      <c r="E204" s="48">
        <f>IFERROR(-($B$5+SUM($D$13:$D203))*$B204/12,0)</f>
        <v>-117056.234801784</v>
      </c>
      <c r="F204" s="48">
        <f t="shared" si="8"/>
        <v>-169730.53509148816</v>
      </c>
      <c r="G204" s="48">
        <f>($B$5+SUM($D$13:$D204))</f>
        <v>4791031.9673703229</v>
      </c>
      <c r="K204" s="45">
        <f t="shared" si="9"/>
        <v>3.7999999999999999E-2</v>
      </c>
      <c r="L204" s="47">
        <v>192</v>
      </c>
      <c r="M204" s="5">
        <f t="shared" si="10"/>
        <v>0</v>
      </c>
      <c r="N204" s="48">
        <f>PPMT($K204/12,1,$C$5-L204+1,$B$5+SUM($N$13:N203),0)</f>
        <v>-35801.915875333536</v>
      </c>
      <c r="O204" s="48">
        <f>-($B$5+SUM($N$13:$N203))*$K204/12</f>
        <v>-5999.1948513701309</v>
      </c>
      <c r="P204" s="48">
        <f t="shared" si="11"/>
        <v>-41801.110726703664</v>
      </c>
      <c r="Q204" s="48">
        <f>($B$5+SUM($D$13:$D204))</f>
        <v>4791031.9673703229</v>
      </c>
    </row>
    <row r="205" spans="2:17">
      <c r="B205" s="45">
        <f>'Ипотечный калькулятор'!$C$21</f>
        <v>0.29000000000000004</v>
      </c>
      <c r="C205" s="46">
        <v>193</v>
      </c>
      <c r="D205" s="48">
        <f>PPMT($B205/12,1,$C$5-C205+1,$B$5+SUM($D$13:D204),0)</f>
        <v>-53947.262546705351</v>
      </c>
      <c r="E205" s="48">
        <f>IFERROR(-($B$5+SUM($D$13:$D204))*$B205/12,0)</f>
        <v>-115783.27254478283</v>
      </c>
      <c r="F205" s="48">
        <f t="shared" ref="F205:F268" si="12">SUM(D205:E205)</f>
        <v>-169730.53509148819</v>
      </c>
      <c r="G205" s="48">
        <f>($B$5+SUM($D$13:$D205))</f>
        <v>4737084.7048236169</v>
      </c>
      <c r="K205" s="45">
        <f t="shared" si="9"/>
        <v>3.7999999999999999E-2</v>
      </c>
      <c r="L205" s="46">
        <v>193</v>
      </c>
      <c r="M205" s="5">
        <f t="shared" si="10"/>
        <v>0</v>
      </c>
      <c r="N205" s="48">
        <f>PPMT($K205/12,1,$C$5-L205+1,$B$5+SUM($N$13:N204),0)</f>
        <v>-35915.288608938761</v>
      </c>
      <c r="O205" s="48">
        <f>-($B$5+SUM($N$13:$N204))*$K205/12</f>
        <v>-5885.8221177649075</v>
      </c>
      <c r="P205" s="48">
        <f t="shared" si="11"/>
        <v>-41801.110726703671</v>
      </c>
      <c r="Q205" s="48">
        <f>($B$5+SUM($D$13:$D205))</f>
        <v>4737084.7048236169</v>
      </c>
    </row>
    <row r="206" spans="2:17">
      <c r="B206" s="45">
        <f>'Ипотечный калькулятор'!$C$21</f>
        <v>0.29000000000000004</v>
      </c>
      <c r="C206" s="47">
        <v>194</v>
      </c>
      <c r="D206" s="48">
        <f>PPMT($B206/12,1,$C$5-C206+1,$B$5+SUM($D$13:D205),0)</f>
        <v>-55250.988058250725</v>
      </c>
      <c r="E206" s="48">
        <f>IFERROR(-($B$5+SUM($D$13:$D205))*$B206/12,0)</f>
        <v>-114479.54703323742</v>
      </c>
      <c r="F206" s="48">
        <f t="shared" si="12"/>
        <v>-169730.53509148816</v>
      </c>
      <c r="G206" s="48">
        <f>($B$5+SUM($D$13:$D206))</f>
        <v>4681833.7167653665</v>
      </c>
      <c r="K206" s="45">
        <f t="shared" ref="K206:K269" si="13">$K$5</f>
        <v>3.7999999999999999E-2</v>
      </c>
      <c r="L206" s="47">
        <v>194</v>
      </c>
      <c r="M206" s="5">
        <f t="shared" si="10"/>
        <v>0</v>
      </c>
      <c r="N206" s="48">
        <f>PPMT($K206/12,1,$C$5-L206+1,$B$5+SUM($N$13:N205),0)</f>
        <v>-36029.020356200395</v>
      </c>
      <c r="O206" s="48">
        <f>-($B$5+SUM($N$13:$N205))*$K206/12</f>
        <v>-5772.0903705032697</v>
      </c>
      <c r="P206" s="48">
        <f t="shared" si="11"/>
        <v>-41801.110726703664</v>
      </c>
      <c r="Q206" s="48">
        <f>($B$5+SUM($D$13:$D206))</f>
        <v>4681833.7167653665</v>
      </c>
    </row>
    <row r="207" spans="2:17">
      <c r="B207" s="45">
        <f>'Ипотечный калькулятор'!$C$21</f>
        <v>0.29000000000000004</v>
      </c>
      <c r="C207" s="46">
        <v>195</v>
      </c>
      <c r="D207" s="48">
        <f>PPMT($B207/12,1,$C$5-C207+1,$B$5+SUM($D$13:D206),0)</f>
        <v>-56586.220269658443</v>
      </c>
      <c r="E207" s="48">
        <f>IFERROR(-($B$5+SUM($D$13:$D206))*$B207/12,0)</f>
        <v>-113144.31482182971</v>
      </c>
      <c r="F207" s="48">
        <f t="shared" si="12"/>
        <v>-169730.53509148816</v>
      </c>
      <c r="G207" s="48">
        <f>($B$5+SUM($D$13:$D207))</f>
        <v>4625247.4964957079</v>
      </c>
      <c r="K207" s="45">
        <f t="shared" si="13"/>
        <v>3.7999999999999999E-2</v>
      </c>
      <c r="L207" s="46">
        <v>195</v>
      </c>
      <c r="M207" s="5">
        <f t="shared" ref="M207:M270" si="14">IF(C207-2&lt;$L$5,IFERROR(F207-P207,0),0)</f>
        <v>0</v>
      </c>
      <c r="N207" s="48">
        <f>PPMT($K207/12,1,$C$5-L207+1,$B$5+SUM($N$13:N206),0)</f>
        <v>-36143.11225399503</v>
      </c>
      <c r="O207" s="48">
        <f>-($B$5+SUM($N$13:$N206))*$K207/12</f>
        <v>-5657.9984727086339</v>
      </c>
      <c r="P207" s="48">
        <f t="shared" ref="P207:P270" si="15">SUM(N207:O207)</f>
        <v>-41801.110726703664</v>
      </c>
      <c r="Q207" s="48">
        <f>($B$5+SUM($D$13:$D207))</f>
        <v>4625247.4964957079</v>
      </c>
    </row>
    <row r="208" spans="2:17">
      <c r="B208" s="45">
        <f>'Ипотечный калькулятор'!$C$21</f>
        <v>0.29000000000000004</v>
      </c>
      <c r="C208" s="47">
        <v>196</v>
      </c>
      <c r="D208" s="48">
        <f>PPMT($B208/12,1,$C$5-C208+1,$B$5+SUM($D$13:D207),0)</f>
        <v>-57953.720592841855</v>
      </c>
      <c r="E208" s="48">
        <f>IFERROR(-($B$5+SUM($D$13:$D207))*$B208/12,0)</f>
        <v>-111776.81449864629</v>
      </c>
      <c r="F208" s="48">
        <f t="shared" si="12"/>
        <v>-169730.53509148816</v>
      </c>
      <c r="G208" s="48">
        <f>($B$5+SUM($D$13:$D208))</f>
        <v>4567293.7759028655</v>
      </c>
      <c r="K208" s="45">
        <f t="shared" si="13"/>
        <v>3.7999999999999999E-2</v>
      </c>
      <c r="L208" s="47">
        <v>196</v>
      </c>
      <c r="M208" s="5">
        <f t="shared" si="14"/>
        <v>0</v>
      </c>
      <c r="N208" s="48">
        <f>PPMT($K208/12,1,$C$5-L208+1,$B$5+SUM($N$13:N207),0)</f>
        <v>-36257.565442799358</v>
      </c>
      <c r="O208" s="48">
        <f>-($B$5+SUM($N$13:$N207))*$K208/12</f>
        <v>-5543.5452839043173</v>
      </c>
      <c r="P208" s="48">
        <f t="shared" si="15"/>
        <v>-41801.110726703671</v>
      </c>
      <c r="Q208" s="48">
        <f>($B$5+SUM($D$13:$D208))</f>
        <v>4567293.7759028655</v>
      </c>
    </row>
    <row r="209" spans="2:17">
      <c r="B209" s="45">
        <f>'Ипотечный калькулятор'!$C$21</f>
        <v>0.29000000000000004</v>
      </c>
      <c r="C209" s="46">
        <v>197</v>
      </c>
      <c r="D209" s="48">
        <f>PPMT($B209/12,1,$C$5-C209+1,$B$5+SUM($D$13:D208),0)</f>
        <v>-59354.268840502205</v>
      </c>
      <c r="E209" s="48">
        <f>IFERROR(-($B$5+SUM($D$13:$D208))*$B209/12,0)</f>
        <v>-110376.26625098592</v>
      </c>
      <c r="F209" s="48">
        <f t="shared" si="12"/>
        <v>-169730.53509148813</v>
      </c>
      <c r="G209" s="48">
        <f>($B$5+SUM($D$13:$D209))</f>
        <v>4507939.5070623644</v>
      </c>
      <c r="K209" s="45">
        <f t="shared" si="13"/>
        <v>3.7999999999999999E-2</v>
      </c>
      <c r="L209" s="46">
        <v>197</v>
      </c>
      <c r="M209" s="5">
        <f t="shared" si="14"/>
        <v>0</v>
      </c>
      <c r="N209" s="48">
        <f>PPMT($K209/12,1,$C$5-L209+1,$B$5+SUM($N$13:N208),0)</f>
        <v>-36372.38106670155</v>
      </c>
      <c r="O209" s="48">
        <f>-($B$5+SUM($N$13:$N208))*$K209/12</f>
        <v>-5428.7296600021191</v>
      </c>
      <c r="P209" s="48">
        <f t="shared" si="15"/>
        <v>-41801.110726703671</v>
      </c>
      <c r="Q209" s="48">
        <f>($B$5+SUM($D$13:$D209))</f>
        <v>4507939.5070623644</v>
      </c>
    </row>
    <row r="210" spans="2:17">
      <c r="B210" s="45">
        <f>'Ипотечный калькулятор'!$C$21</f>
        <v>0.29000000000000004</v>
      </c>
      <c r="C210" s="47">
        <v>198</v>
      </c>
      <c r="D210" s="48">
        <f>PPMT($B210/12,1,$C$5-C210+1,$B$5+SUM($D$13:D209),0)</f>
        <v>-60788.663670814349</v>
      </c>
      <c r="E210" s="48">
        <f>IFERROR(-($B$5+SUM($D$13:$D209))*$B210/12,0)</f>
        <v>-108941.87142067381</v>
      </c>
      <c r="F210" s="48">
        <f t="shared" si="12"/>
        <v>-169730.53509148816</v>
      </c>
      <c r="G210" s="48">
        <f>($B$5+SUM($D$13:$D210))</f>
        <v>4447150.8433915498</v>
      </c>
      <c r="K210" s="45">
        <f t="shared" si="13"/>
        <v>3.7999999999999999E-2</v>
      </c>
      <c r="L210" s="47">
        <v>198</v>
      </c>
      <c r="M210" s="5">
        <f t="shared" si="14"/>
        <v>0</v>
      </c>
      <c r="N210" s="48">
        <f>PPMT($K210/12,1,$C$5-L210+1,$B$5+SUM($N$13:N209),0)</f>
        <v>-36487.560273412768</v>
      </c>
      <c r="O210" s="48">
        <f>-($B$5+SUM($N$13:$N209))*$K210/12</f>
        <v>-5313.5504532908981</v>
      </c>
      <c r="P210" s="48">
        <f t="shared" si="15"/>
        <v>-41801.110726703664</v>
      </c>
      <c r="Q210" s="48">
        <f>($B$5+SUM($D$13:$D210))</f>
        <v>4447150.8433915498</v>
      </c>
    </row>
    <row r="211" spans="2:17">
      <c r="B211" s="45">
        <f>'Ипотечный калькулятор'!$C$21</f>
        <v>0.29000000000000004</v>
      </c>
      <c r="C211" s="46">
        <v>199</v>
      </c>
      <c r="D211" s="48">
        <f>PPMT($B211/12,1,$C$5-C211+1,$B$5+SUM($D$13:D210),0)</f>
        <v>-62257.723042859034</v>
      </c>
      <c r="E211" s="48">
        <f>IFERROR(-($B$5+SUM($D$13:$D210))*$B211/12,0)</f>
        <v>-107472.81204862914</v>
      </c>
      <c r="F211" s="48">
        <f t="shared" si="12"/>
        <v>-169730.53509148819</v>
      </c>
      <c r="G211" s="48">
        <f>($B$5+SUM($D$13:$D211))</f>
        <v>4384893.1203486901</v>
      </c>
      <c r="K211" s="45">
        <f t="shared" si="13"/>
        <v>3.7999999999999999E-2</v>
      </c>
      <c r="L211" s="46">
        <v>199</v>
      </c>
      <c r="M211" s="5">
        <f t="shared" si="14"/>
        <v>0</v>
      </c>
      <c r="N211" s="48">
        <f>PPMT($K211/12,1,$C$5-L211+1,$B$5+SUM($N$13:N210),0)</f>
        <v>-36603.104214278581</v>
      </c>
      <c r="O211" s="48">
        <f>-($B$5+SUM($N$13:$N210))*$K211/12</f>
        <v>-5198.0065124250914</v>
      </c>
      <c r="P211" s="48">
        <f t="shared" si="15"/>
        <v>-41801.110726703671</v>
      </c>
      <c r="Q211" s="48">
        <f>($B$5+SUM($D$13:$D211))</f>
        <v>4384893.1203486901</v>
      </c>
    </row>
    <row r="212" spans="2:17">
      <c r="B212" s="45">
        <f>'Ипотечный калькулятор'!$C$21</f>
        <v>0.29000000000000004</v>
      </c>
      <c r="C212" s="47">
        <v>200</v>
      </c>
      <c r="D212" s="48">
        <f>PPMT($B212/12,1,$C$5-C212+1,$B$5+SUM($D$13:D211),0)</f>
        <v>-63762.284683061444</v>
      </c>
      <c r="E212" s="48">
        <f>IFERROR(-($B$5+SUM($D$13:$D211))*$B212/12,0)</f>
        <v>-105968.25040842668</v>
      </c>
      <c r="F212" s="48">
        <f t="shared" si="12"/>
        <v>-169730.53509148813</v>
      </c>
      <c r="G212" s="48">
        <f>($B$5+SUM($D$13:$D212))</f>
        <v>4321130.8356656292</v>
      </c>
      <c r="K212" s="45">
        <f t="shared" si="13"/>
        <v>3.7999999999999999E-2</v>
      </c>
      <c r="L212" s="47">
        <v>200</v>
      </c>
      <c r="M212" s="5">
        <f t="shared" si="14"/>
        <v>0</v>
      </c>
      <c r="N212" s="48">
        <f>PPMT($K212/12,1,$C$5-L212+1,$B$5+SUM($N$13:N211),0)</f>
        <v>-36719.014044290459</v>
      </c>
      <c r="O212" s="48">
        <f>-($B$5+SUM($N$13:$N211))*$K212/12</f>
        <v>-5082.0966824132074</v>
      </c>
      <c r="P212" s="48">
        <f t="shared" si="15"/>
        <v>-41801.110726703664</v>
      </c>
      <c r="Q212" s="48">
        <f>($B$5+SUM($D$13:$D212))</f>
        <v>4321130.8356656292</v>
      </c>
    </row>
    <row r="213" spans="2:17">
      <c r="B213" s="45">
        <f>'Ипотечный калькулятор'!$C$21</f>
        <v>0.29000000000000004</v>
      </c>
      <c r="C213" s="46">
        <v>201</v>
      </c>
      <c r="D213" s="48">
        <f>PPMT($B213/12,1,$C$5-C213+1,$B$5+SUM($D$13:D212),0)</f>
        <v>-65303.206562902116</v>
      </c>
      <c r="E213" s="48">
        <f>IFERROR(-($B$5+SUM($D$13:$D212))*$B213/12,0)</f>
        <v>-104427.32852858606</v>
      </c>
      <c r="F213" s="48">
        <f t="shared" si="12"/>
        <v>-169730.53509148819</v>
      </c>
      <c r="G213" s="48">
        <f>($B$5+SUM($D$13:$D213))</f>
        <v>4255827.6291027274</v>
      </c>
      <c r="K213" s="45">
        <f t="shared" si="13"/>
        <v>3.7999999999999999E-2</v>
      </c>
      <c r="L213" s="46">
        <v>201</v>
      </c>
      <c r="M213" s="5">
        <f t="shared" si="14"/>
        <v>0</v>
      </c>
      <c r="N213" s="48">
        <f>PPMT($K213/12,1,$C$5-L213+1,$B$5+SUM($N$13:N212),0)</f>
        <v>-36835.290922097382</v>
      </c>
      <c r="O213" s="48">
        <f>-($B$5+SUM($N$13:$N212))*$K213/12</f>
        <v>-4965.8198046062889</v>
      </c>
      <c r="P213" s="48">
        <f t="shared" si="15"/>
        <v>-41801.110726703671</v>
      </c>
      <c r="Q213" s="48">
        <f>($B$5+SUM($D$13:$D213))</f>
        <v>4255827.6291027274</v>
      </c>
    </row>
    <row r="214" spans="2:17">
      <c r="B214" s="45">
        <f>'Ипотечный калькулятор'!$C$21</f>
        <v>0.29000000000000004</v>
      </c>
      <c r="C214" s="47">
        <v>202</v>
      </c>
      <c r="D214" s="48">
        <f>PPMT($B214/12,1,$C$5-C214+1,$B$5+SUM($D$13:D213),0)</f>
        <v>-66881.36738817225</v>
      </c>
      <c r="E214" s="48">
        <f>IFERROR(-($B$5+SUM($D$13:$D213))*$B214/12,0)</f>
        <v>-102849.16770331592</v>
      </c>
      <c r="F214" s="48">
        <f t="shared" si="12"/>
        <v>-169730.53509148816</v>
      </c>
      <c r="G214" s="48">
        <f>($B$5+SUM($D$13:$D214))</f>
        <v>4188946.2617145549</v>
      </c>
      <c r="K214" s="45">
        <f t="shared" si="13"/>
        <v>3.7999999999999999E-2</v>
      </c>
      <c r="L214" s="47">
        <v>202</v>
      </c>
      <c r="M214" s="5">
        <f t="shared" si="14"/>
        <v>0</v>
      </c>
      <c r="N214" s="48">
        <f>PPMT($K214/12,1,$C$5-L214+1,$B$5+SUM($N$13:N213),0)</f>
        <v>-36951.936010017365</v>
      </c>
      <c r="O214" s="48">
        <f>-($B$5+SUM($N$13:$N213))*$K214/12</f>
        <v>-4849.1747166863142</v>
      </c>
      <c r="P214" s="48">
        <f t="shared" si="15"/>
        <v>-41801.110726703679</v>
      </c>
      <c r="Q214" s="48">
        <f>($B$5+SUM($D$13:$D214))</f>
        <v>4188946.2617145549</v>
      </c>
    </row>
    <row r="215" spans="2:17">
      <c r="B215" s="45">
        <f>'Ипотечный калькулятор'!$C$21</f>
        <v>0.29000000000000004</v>
      </c>
      <c r="C215" s="46">
        <v>203</v>
      </c>
      <c r="D215" s="48">
        <f>PPMT($B215/12,1,$C$5-C215+1,$B$5+SUM($D$13:D214),0)</f>
        <v>-68497.667100053062</v>
      </c>
      <c r="E215" s="48">
        <f>IFERROR(-($B$5+SUM($D$13:$D214))*$B215/12,0)</f>
        <v>-101232.86799143509</v>
      </c>
      <c r="F215" s="48">
        <f t="shared" si="12"/>
        <v>-169730.53509148816</v>
      </c>
      <c r="G215" s="48">
        <f>($B$5+SUM($D$13:$D215))</f>
        <v>4120448.5946145016</v>
      </c>
      <c r="K215" s="45">
        <f t="shared" si="13"/>
        <v>3.7999999999999999E-2</v>
      </c>
      <c r="L215" s="46">
        <v>203</v>
      </c>
      <c r="M215" s="5">
        <f t="shared" si="14"/>
        <v>0</v>
      </c>
      <c r="N215" s="48">
        <f>PPMT($K215/12,1,$C$5-L215+1,$B$5+SUM($N$13:N214),0)</f>
        <v>-37068.950474049096</v>
      </c>
      <c r="O215" s="48">
        <f>-($B$5+SUM($N$13:$N214))*$K215/12</f>
        <v>-4732.1602526545939</v>
      </c>
      <c r="P215" s="48">
        <f t="shared" si="15"/>
        <v>-41801.110726703686</v>
      </c>
      <c r="Q215" s="48">
        <f>($B$5+SUM($D$13:$D215))</f>
        <v>4120448.5946145016</v>
      </c>
    </row>
    <row r="216" spans="2:17">
      <c r="B216" s="45">
        <f>'Ипотечный калькулятор'!$C$21</f>
        <v>0.29000000000000004</v>
      </c>
      <c r="C216" s="47">
        <v>204</v>
      </c>
      <c r="D216" s="48">
        <f>PPMT($B216/12,1,$C$5-C216+1,$B$5+SUM($D$13:D215),0)</f>
        <v>-70153.027388304356</v>
      </c>
      <c r="E216" s="48">
        <f>IFERROR(-($B$5+SUM($D$13:$D215))*$B216/12,0)</f>
        <v>-99577.507703183801</v>
      </c>
      <c r="F216" s="48">
        <f t="shared" si="12"/>
        <v>-169730.53509148816</v>
      </c>
      <c r="G216" s="48">
        <f>($B$5+SUM($D$13:$D216))</f>
        <v>4050295.5672261971</v>
      </c>
      <c r="K216" s="45">
        <f t="shared" si="13"/>
        <v>3.7999999999999999E-2</v>
      </c>
      <c r="L216" s="47">
        <v>204</v>
      </c>
      <c r="M216" s="5">
        <f t="shared" si="14"/>
        <v>0</v>
      </c>
      <c r="N216" s="48">
        <f>PPMT($K216/12,1,$C$5-L216+1,$B$5+SUM($N$13:N215),0)</f>
        <v>-37186.33548388358</v>
      </c>
      <c r="O216" s="48">
        <f>-($B$5+SUM($N$13:$N215))*$K216/12</f>
        <v>-4614.7752428201056</v>
      </c>
      <c r="P216" s="48">
        <f t="shared" si="15"/>
        <v>-41801.110726703686</v>
      </c>
      <c r="Q216" s="48">
        <f>($B$5+SUM($D$13:$D216))</f>
        <v>4050295.5672261971</v>
      </c>
    </row>
    <row r="217" spans="2:17">
      <c r="B217" s="45">
        <f>'Ипотечный калькулятор'!$C$21</f>
        <v>0.29000000000000004</v>
      </c>
      <c r="C217" s="46">
        <v>205</v>
      </c>
      <c r="D217" s="48">
        <f>PPMT($B217/12,1,$C$5-C217+1,$B$5+SUM($D$13:D216),0)</f>
        <v>-71848.392216855034</v>
      </c>
      <c r="E217" s="48">
        <f>IFERROR(-($B$5+SUM($D$13:$D216))*$B217/12,0)</f>
        <v>-97882.142874633122</v>
      </c>
      <c r="F217" s="48">
        <f t="shared" si="12"/>
        <v>-169730.53509148816</v>
      </c>
      <c r="G217" s="48">
        <f>($B$5+SUM($D$13:$D217))</f>
        <v>3978447.1750093419</v>
      </c>
      <c r="K217" s="45">
        <f t="shared" si="13"/>
        <v>3.7999999999999999E-2</v>
      </c>
      <c r="L217" s="46">
        <v>205</v>
      </c>
      <c r="M217" s="5">
        <f t="shared" si="14"/>
        <v>0</v>
      </c>
      <c r="N217" s="48">
        <f>PPMT($K217/12,1,$C$5-L217+1,$B$5+SUM($N$13:N216),0)</f>
        <v>-37304.092212915893</v>
      </c>
      <c r="O217" s="48">
        <f>-($B$5+SUM($N$13:$N216))*$K217/12</f>
        <v>-4497.0185137878079</v>
      </c>
      <c r="P217" s="48">
        <f t="shared" si="15"/>
        <v>-41801.1107267037</v>
      </c>
      <c r="Q217" s="48">
        <f>($B$5+SUM($D$13:$D217))</f>
        <v>3978447.1750093419</v>
      </c>
    </row>
    <row r="218" spans="2:17">
      <c r="B218" s="45">
        <f>'Ипотечный калькулятор'!$C$21</f>
        <v>0.29000000000000004</v>
      </c>
      <c r="C218" s="47">
        <v>206</v>
      </c>
      <c r="D218" s="48">
        <f>PPMT($B218/12,1,$C$5-C218+1,$B$5+SUM($D$13:D217),0)</f>
        <v>-73584.728362095688</v>
      </c>
      <c r="E218" s="48">
        <f>IFERROR(-($B$5+SUM($D$13:$D217))*$B218/12,0)</f>
        <v>-96145.80672939244</v>
      </c>
      <c r="F218" s="48">
        <f t="shared" si="12"/>
        <v>-169730.53509148813</v>
      </c>
      <c r="G218" s="48">
        <f>($B$5+SUM($D$13:$D218))</f>
        <v>3904862.4466472464</v>
      </c>
      <c r="K218" s="45">
        <f t="shared" si="13"/>
        <v>3.7999999999999999E-2</v>
      </c>
      <c r="L218" s="47">
        <v>206</v>
      </c>
      <c r="M218" s="5">
        <f t="shared" si="14"/>
        <v>0</v>
      </c>
      <c r="N218" s="48">
        <f>PPMT($K218/12,1,$C$5-L218+1,$B$5+SUM($N$13:N217),0)</f>
        <v>-37422.221838256781</v>
      </c>
      <c r="O218" s="48">
        <f>-($B$5+SUM($N$13:$N217))*$K218/12</f>
        <v>-4378.8888884469061</v>
      </c>
      <c r="P218" s="48">
        <f t="shared" si="15"/>
        <v>-41801.110726703686</v>
      </c>
      <c r="Q218" s="48">
        <f>($B$5+SUM($D$13:$D218))</f>
        <v>3904862.4466472464</v>
      </c>
    </row>
    <row r="219" spans="2:17">
      <c r="B219" s="45">
        <f>'Ипотечный калькулятор'!$C$21</f>
        <v>0.29000000000000004</v>
      </c>
      <c r="C219" s="46">
        <v>207</v>
      </c>
      <c r="D219" s="48">
        <f>PPMT($B219/12,1,$C$5-C219+1,$B$5+SUM($D$13:D218),0)</f>
        <v>-75363.025964179673</v>
      </c>
      <c r="E219" s="48">
        <f>IFERROR(-($B$5+SUM($D$13:$D218))*$B219/12,0)</f>
        <v>-94367.509127308454</v>
      </c>
      <c r="F219" s="48">
        <f t="shared" si="12"/>
        <v>-169730.53509148813</v>
      </c>
      <c r="G219" s="48">
        <f>($B$5+SUM($D$13:$D219))</f>
        <v>3829499.4206830668</v>
      </c>
      <c r="K219" s="45">
        <f t="shared" si="13"/>
        <v>3.7999999999999999E-2</v>
      </c>
      <c r="L219" s="46">
        <v>207</v>
      </c>
      <c r="M219" s="5">
        <f t="shared" si="14"/>
        <v>0</v>
      </c>
      <c r="N219" s="48">
        <f>PPMT($K219/12,1,$C$5-L219+1,$B$5+SUM($N$13:N218),0)</f>
        <v>-37540.725540744599</v>
      </c>
      <c r="O219" s="48">
        <f>-($B$5+SUM($N$13:$N218))*$K219/12</f>
        <v>-4260.385185959095</v>
      </c>
      <c r="P219" s="48">
        <f t="shared" si="15"/>
        <v>-41801.110726703693</v>
      </c>
      <c r="Q219" s="48">
        <f>($B$5+SUM($D$13:$D219))</f>
        <v>3829499.4206830668</v>
      </c>
    </row>
    <row r="220" spans="2:17">
      <c r="B220" s="45">
        <f>'Ипотечный калькулятор'!$C$21</f>
        <v>0.29000000000000004</v>
      </c>
      <c r="C220" s="47">
        <v>208</v>
      </c>
      <c r="D220" s="48">
        <f>PPMT($B220/12,1,$C$5-C220+1,$B$5+SUM($D$13:D219),0)</f>
        <v>-77184.299091647365</v>
      </c>
      <c r="E220" s="48">
        <f>IFERROR(-($B$5+SUM($D$13:$D219))*$B220/12,0)</f>
        <v>-92546.235999840792</v>
      </c>
      <c r="F220" s="48">
        <f t="shared" si="12"/>
        <v>-169730.53509148816</v>
      </c>
      <c r="G220" s="48">
        <f>($B$5+SUM($D$13:$D220))</f>
        <v>3752315.1215914194</v>
      </c>
      <c r="K220" s="45">
        <f t="shared" si="13"/>
        <v>3.7999999999999999E-2</v>
      </c>
      <c r="L220" s="47">
        <v>208</v>
      </c>
      <c r="M220" s="5">
        <f t="shared" si="14"/>
        <v>0</v>
      </c>
      <c r="N220" s="48">
        <f>PPMT($K220/12,1,$C$5-L220+1,$B$5+SUM($N$13:N219),0)</f>
        <v>-37659.604504956973</v>
      </c>
      <c r="O220" s="48">
        <f>-($B$5+SUM($N$13:$N219))*$K220/12</f>
        <v>-4141.5062217467375</v>
      </c>
      <c r="P220" s="48">
        <f t="shared" si="15"/>
        <v>-41801.110726703708</v>
      </c>
      <c r="Q220" s="48">
        <f>($B$5+SUM($D$13:$D220))</f>
        <v>3752315.1215914194</v>
      </c>
    </row>
    <row r="221" spans="2:17">
      <c r="B221" s="45">
        <f>'Ипотечный калькулятор'!$C$21</f>
        <v>0.29000000000000004</v>
      </c>
      <c r="C221" s="46">
        <v>209</v>
      </c>
      <c r="D221" s="48">
        <f>PPMT($B221/12,1,$C$5-C221+1,$B$5+SUM($D$13:D220),0)</f>
        <v>-79049.586319695503</v>
      </c>
      <c r="E221" s="48">
        <f>IFERROR(-($B$5+SUM($D$13:$D220))*$B221/12,0)</f>
        <v>-90680.948771792639</v>
      </c>
      <c r="F221" s="48">
        <f t="shared" si="12"/>
        <v>-169730.53509148816</v>
      </c>
      <c r="G221" s="48">
        <f>($B$5+SUM($D$13:$D221))</f>
        <v>3673265.5352717238</v>
      </c>
      <c r="K221" s="45">
        <f t="shared" si="13"/>
        <v>3.7999999999999999E-2</v>
      </c>
      <c r="L221" s="46">
        <v>209</v>
      </c>
      <c r="M221" s="5">
        <f t="shared" si="14"/>
        <v>0</v>
      </c>
      <c r="N221" s="48">
        <f>PPMT($K221/12,1,$C$5-L221+1,$B$5+SUM($N$13:N220),0)</f>
        <v>-37778.859919222668</v>
      </c>
      <c r="O221" s="48">
        <f>-($B$5+SUM($N$13:$N220))*$K221/12</f>
        <v>-4022.2508074810412</v>
      </c>
      <c r="P221" s="48">
        <f t="shared" si="15"/>
        <v>-41801.110726703708</v>
      </c>
      <c r="Q221" s="48">
        <f>($B$5+SUM($D$13:$D221))</f>
        <v>3673265.5352717238</v>
      </c>
    </row>
    <row r="222" spans="2:17">
      <c r="B222" s="45">
        <f>'Ипотечный калькулятор'!$C$21</f>
        <v>0.29000000000000004</v>
      </c>
      <c r="C222" s="47">
        <v>210</v>
      </c>
      <c r="D222" s="48">
        <f>PPMT($B222/12,1,$C$5-C222+1,$B$5+SUM($D$13:D221),0)</f>
        <v>-80959.951322421475</v>
      </c>
      <c r="E222" s="48">
        <f>IFERROR(-($B$5+SUM($D$13:$D221))*$B222/12,0)</f>
        <v>-88770.583769066667</v>
      </c>
      <c r="F222" s="48">
        <f t="shared" si="12"/>
        <v>-169730.53509148816</v>
      </c>
      <c r="G222" s="48">
        <f>($B$5+SUM($D$13:$D222))</f>
        <v>3592305.5839493023</v>
      </c>
      <c r="K222" s="45">
        <f t="shared" si="13"/>
        <v>3.7999999999999999E-2</v>
      </c>
      <c r="L222" s="47">
        <v>210</v>
      </c>
      <c r="M222" s="5">
        <f t="shared" si="14"/>
        <v>0</v>
      </c>
      <c r="N222" s="48">
        <f>PPMT($K222/12,1,$C$5-L222+1,$B$5+SUM($N$13:N221),0)</f>
        <v>-37898.492975633526</v>
      </c>
      <c r="O222" s="48">
        <f>-($B$5+SUM($N$13:$N221))*$K222/12</f>
        <v>-3902.6177510701687</v>
      </c>
      <c r="P222" s="48">
        <f t="shared" si="15"/>
        <v>-41801.110726703693</v>
      </c>
      <c r="Q222" s="48">
        <f>($B$5+SUM($D$13:$D222))</f>
        <v>3592305.5839493023</v>
      </c>
    </row>
    <row r="223" spans="2:17">
      <c r="B223" s="45">
        <f>'Ипотечный калькулятор'!$C$21</f>
        <v>0.29000000000000004</v>
      </c>
      <c r="C223" s="46">
        <v>211</v>
      </c>
      <c r="D223" s="48">
        <f>PPMT($B223/12,1,$C$5-C223+1,$B$5+SUM($D$13:D222),0)</f>
        <v>-82916.483479379996</v>
      </c>
      <c r="E223" s="48">
        <f>IFERROR(-($B$5+SUM($D$13:$D222))*$B223/12,0)</f>
        <v>-86814.051612108145</v>
      </c>
      <c r="F223" s="48">
        <f t="shared" si="12"/>
        <v>-169730.53509148816</v>
      </c>
      <c r="G223" s="48">
        <f>($B$5+SUM($D$13:$D223))</f>
        <v>3509389.1004699222</v>
      </c>
      <c r="K223" s="45">
        <f t="shared" si="13"/>
        <v>3.7999999999999999E-2</v>
      </c>
      <c r="L223" s="46">
        <v>211</v>
      </c>
      <c r="M223" s="5">
        <f t="shared" si="14"/>
        <v>0</v>
      </c>
      <c r="N223" s="48">
        <f>PPMT($K223/12,1,$C$5-L223+1,$B$5+SUM($N$13:N222),0)</f>
        <v>-38018.504870056364</v>
      </c>
      <c r="O223" s="48">
        <f>-($B$5+SUM($N$13:$N222))*$K223/12</f>
        <v>-3782.6058566473289</v>
      </c>
      <c r="P223" s="48">
        <f t="shared" si="15"/>
        <v>-41801.110726703693</v>
      </c>
      <c r="Q223" s="48">
        <f>($B$5+SUM($D$13:$D223))</f>
        <v>3509389.1004699222</v>
      </c>
    </row>
    <row r="224" spans="2:17">
      <c r="B224" s="45">
        <f>'Ипотечный калькулятор'!$C$21</f>
        <v>0.29000000000000004</v>
      </c>
      <c r="C224" s="47">
        <v>212</v>
      </c>
      <c r="D224" s="48">
        <f>PPMT($B224/12,1,$C$5-C224+1,$B$5+SUM($D$13:D223),0)</f>
        <v>-84920.298496798336</v>
      </c>
      <c r="E224" s="48">
        <f>IFERROR(-($B$5+SUM($D$13:$D223))*$B224/12,0)</f>
        <v>-84810.236594689792</v>
      </c>
      <c r="F224" s="48">
        <f t="shared" si="12"/>
        <v>-169730.53509148813</v>
      </c>
      <c r="G224" s="48">
        <f>($B$5+SUM($D$13:$D224))</f>
        <v>3424468.801973124</v>
      </c>
      <c r="K224" s="45">
        <f t="shared" si="13"/>
        <v>3.7999999999999999E-2</v>
      </c>
      <c r="L224" s="47">
        <v>212</v>
      </c>
      <c r="M224" s="5">
        <f t="shared" si="14"/>
        <v>0</v>
      </c>
      <c r="N224" s="48">
        <f>PPMT($K224/12,1,$C$5-L224+1,$B$5+SUM($N$13:N223),0)</f>
        <v>-38138.896802144896</v>
      </c>
      <c r="O224" s="48">
        <f>-($B$5+SUM($N$13:$N223))*$K224/12</f>
        <v>-3662.2139245588173</v>
      </c>
      <c r="P224" s="48">
        <f t="shared" si="15"/>
        <v>-41801.110726703715</v>
      </c>
      <c r="Q224" s="48">
        <f>($B$5+SUM($D$13:$D224))</f>
        <v>3424468.801973124</v>
      </c>
    </row>
    <row r="225" spans="2:17">
      <c r="B225" s="45">
        <f>'Ипотечный калькулятор'!$C$21</f>
        <v>0.29000000000000004</v>
      </c>
      <c r="C225" s="46">
        <v>213</v>
      </c>
      <c r="D225" s="48">
        <f>PPMT($B225/12,1,$C$5-C225+1,$B$5+SUM($D$13:D224),0)</f>
        <v>-86972.53904380431</v>
      </c>
      <c r="E225" s="48">
        <f>IFERROR(-($B$5+SUM($D$13:$D224))*$B225/12,0)</f>
        <v>-82757.996047683831</v>
      </c>
      <c r="F225" s="48">
        <f t="shared" si="12"/>
        <v>-169730.53509148816</v>
      </c>
      <c r="G225" s="48">
        <f>($B$5+SUM($D$13:$D225))</f>
        <v>3337496.2629293199</v>
      </c>
      <c r="K225" s="45">
        <f t="shared" si="13"/>
        <v>3.7999999999999999E-2</v>
      </c>
      <c r="L225" s="46">
        <v>213</v>
      </c>
      <c r="M225" s="5">
        <f t="shared" si="14"/>
        <v>0</v>
      </c>
      <c r="N225" s="48">
        <f>PPMT($K225/12,1,$C$5-L225+1,$B$5+SUM($N$13:N224),0)</f>
        <v>-38259.669975351673</v>
      </c>
      <c r="O225" s="48">
        <f>-($B$5+SUM($N$13:$N224))*$K225/12</f>
        <v>-3541.440751352025</v>
      </c>
      <c r="P225" s="48">
        <f t="shared" si="15"/>
        <v>-41801.1107267037</v>
      </c>
      <c r="Q225" s="48">
        <f>($B$5+SUM($D$13:$D225))</f>
        <v>3337496.2629293199</v>
      </c>
    </row>
    <row r="226" spans="2:17">
      <c r="B226" s="45">
        <f>'Ипотечный калькулятор'!$C$21</f>
        <v>0.29000000000000004</v>
      </c>
      <c r="C226" s="47">
        <v>214</v>
      </c>
      <c r="D226" s="48">
        <f>PPMT($B226/12,1,$C$5-C226+1,$B$5+SUM($D$13:D225),0)</f>
        <v>-89074.375404029575</v>
      </c>
      <c r="E226" s="48">
        <f>IFERROR(-($B$5+SUM($D$13:$D225))*$B226/12,0)</f>
        <v>-80656.159687458581</v>
      </c>
      <c r="F226" s="48">
        <f t="shared" si="12"/>
        <v>-169730.53509148816</v>
      </c>
      <c r="G226" s="48">
        <f>($B$5+SUM($D$13:$D226))</f>
        <v>3248421.8875252903</v>
      </c>
      <c r="K226" s="45">
        <f t="shared" si="13"/>
        <v>3.7999999999999999E-2</v>
      </c>
      <c r="L226" s="47">
        <v>214</v>
      </c>
      <c r="M226" s="5">
        <f t="shared" si="14"/>
        <v>0</v>
      </c>
      <c r="N226" s="48">
        <f>PPMT($K226/12,1,$C$5-L226+1,$B$5+SUM($N$13:N225),0)</f>
        <v>-38380.825596940289</v>
      </c>
      <c r="O226" s="48">
        <f>-($B$5+SUM($N$13:$N225))*$K226/12</f>
        <v>-3420.2851297634115</v>
      </c>
      <c r="P226" s="48">
        <f t="shared" si="15"/>
        <v>-41801.1107267037</v>
      </c>
      <c r="Q226" s="48">
        <f>($B$5+SUM($D$13:$D226))</f>
        <v>3248421.8875252903</v>
      </c>
    </row>
    <row r="227" spans="2:17">
      <c r="B227" s="45">
        <f>'Ипотечный калькулятор'!$C$21</f>
        <v>0.29000000000000004</v>
      </c>
      <c r="C227" s="46">
        <v>215</v>
      </c>
      <c r="D227" s="48">
        <f>PPMT($B227/12,1,$C$5-C227+1,$B$5+SUM($D$13:D226),0)</f>
        <v>-91227.006142960294</v>
      </c>
      <c r="E227" s="48">
        <f>IFERROR(-($B$5+SUM($D$13:$D226))*$B227/12,0)</f>
        <v>-78503.528948527863</v>
      </c>
      <c r="F227" s="48">
        <f t="shared" si="12"/>
        <v>-169730.53509148816</v>
      </c>
      <c r="G227" s="48">
        <f>($B$5+SUM($D$13:$D227))</f>
        <v>3157194.8813823299</v>
      </c>
      <c r="K227" s="45">
        <f t="shared" si="13"/>
        <v>3.7999999999999999E-2</v>
      </c>
      <c r="L227" s="46">
        <v>215</v>
      </c>
      <c r="M227" s="5">
        <f t="shared" si="14"/>
        <v>0</v>
      </c>
      <c r="N227" s="48">
        <f>PPMT($K227/12,1,$C$5-L227+1,$B$5+SUM($N$13:N226),0)</f>
        <v>-38502.364877997257</v>
      </c>
      <c r="O227" s="48">
        <f>-($B$5+SUM($N$13:$N226))*$K227/12</f>
        <v>-3298.7458487064328</v>
      </c>
      <c r="P227" s="48">
        <f t="shared" si="15"/>
        <v>-41801.110726703693</v>
      </c>
      <c r="Q227" s="48">
        <f>($B$5+SUM($D$13:$D227))</f>
        <v>3157194.8813823299</v>
      </c>
    </row>
    <row r="228" spans="2:17">
      <c r="B228" s="45">
        <f>'Ипотечный калькулятор'!$C$21</f>
        <v>0.29000000000000004</v>
      </c>
      <c r="C228" s="47">
        <v>216</v>
      </c>
      <c r="D228" s="48">
        <f>PPMT($B228/12,1,$C$5-C228+1,$B$5+SUM($D$13:D227),0)</f>
        <v>-93431.658791415175</v>
      </c>
      <c r="E228" s="48">
        <f>IFERROR(-($B$5+SUM($D$13:$D227))*$B228/12,0)</f>
        <v>-76298.876300072981</v>
      </c>
      <c r="F228" s="48">
        <f t="shared" si="12"/>
        <v>-169730.53509148816</v>
      </c>
      <c r="G228" s="48">
        <f>($B$5+SUM($D$13:$D228))</f>
        <v>3063763.2225909145</v>
      </c>
      <c r="K228" s="45">
        <f t="shared" si="13"/>
        <v>3.7999999999999999E-2</v>
      </c>
      <c r="L228" s="47">
        <v>216</v>
      </c>
      <c r="M228" s="5">
        <f t="shared" si="14"/>
        <v>0</v>
      </c>
      <c r="N228" s="48">
        <f>PPMT($K228/12,1,$C$5-L228+1,$B$5+SUM($N$13:N227),0)</f>
        <v>-38624.289033444256</v>
      </c>
      <c r="O228" s="48">
        <f>-($B$5+SUM($N$13:$N227))*$K228/12</f>
        <v>-3176.8216932594423</v>
      </c>
      <c r="P228" s="48">
        <f t="shared" si="15"/>
        <v>-41801.1107267037</v>
      </c>
      <c r="Q228" s="48">
        <f>($B$5+SUM($D$13:$D228))</f>
        <v>3063763.2225909145</v>
      </c>
    </row>
    <row r="229" spans="2:17">
      <c r="B229" s="45">
        <f>'Ипотечный калькулятор'!$C$21</f>
        <v>0.29000000000000004</v>
      </c>
      <c r="C229" s="46">
        <v>217</v>
      </c>
      <c r="D229" s="48">
        <f>PPMT($B229/12,1,$C$5-C229+1,$B$5+SUM($D$13:D228),0)</f>
        <v>-95689.590545541025</v>
      </c>
      <c r="E229" s="48">
        <f>IFERROR(-($B$5+SUM($D$13:$D228))*$B229/12,0)</f>
        <v>-74040.944545947117</v>
      </c>
      <c r="F229" s="48">
        <f t="shared" si="12"/>
        <v>-169730.53509148816</v>
      </c>
      <c r="G229" s="48">
        <f>($B$5+SUM($D$13:$D229))</f>
        <v>2968073.6320453733</v>
      </c>
      <c r="K229" s="45">
        <f t="shared" si="13"/>
        <v>3.7999999999999999E-2</v>
      </c>
      <c r="L229" s="46">
        <v>217</v>
      </c>
      <c r="M229" s="5">
        <f t="shared" si="14"/>
        <v>0</v>
      </c>
      <c r="N229" s="48">
        <f>PPMT($K229/12,1,$C$5-L229+1,$B$5+SUM($N$13:N228),0)</f>
        <v>-38746.599282050149</v>
      </c>
      <c r="O229" s="48">
        <f>-($B$5+SUM($N$13:$N228))*$K229/12</f>
        <v>-3054.511444653534</v>
      </c>
      <c r="P229" s="48">
        <f t="shared" si="15"/>
        <v>-41801.110726703686</v>
      </c>
      <c r="Q229" s="48">
        <f>($B$5+SUM($D$13:$D229))</f>
        <v>2968073.6320453733</v>
      </c>
    </row>
    <row r="230" spans="2:17">
      <c r="B230" s="45">
        <f>'Ипотечный калькулятор'!$C$21</f>
        <v>0.29000000000000004</v>
      </c>
      <c r="C230" s="47">
        <v>218</v>
      </c>
      <c r="D230" s="48">
        <f>PPMT($B230/12,1,$C$5-C230+1,$B$5+SUM($D$13:D229),0)</f>
        <v>-98002.088983724927</v>
      </c>
      <c r="E230" s="48">
        <f>IFERROR(-($B$5+SUM($D$13:$D229))*$B230/12,0)</f>
        <v>-71728.4461077632</v>
      </c>
      <c r="F230" s="48">
        <f t="shared" si="12"/>
        <v>-169730.53509148813</v>
      </c>
      <c r="G230" s="48">
        <f>($B$5+SUM($D$13:$D230))</f>
        <v>2870071.5430616485</v>
      </c>
      <c r="K230" s="45">
        <f t="shared" si="13"/>
        <v>3.7999999999999999E-2</v>
      </c>
      <c r="L230" s="47">
        <v>218</v>
      </c>
      <c r="M230" s="5">
        <f t="shared" si="14"/>
        <v>0</v>
      </c>
      <c r="N230" s="48">
        <f>PPMT($K230/12,1,$C$5-L230+1,$B$5+SUM($N$13:N229),0)</f>
        <v>-38869.2968464433</v>
      </c>
      <c r="O230" s="48">
        <f>-($B$5+SUM($N$13:$N229))*$K230/12</f>
        <v>-2931.8138802603748</v>
      </c>
      <c r="P230" s="48">
        <f t="shared" si="15"/>
        <v>-41801.110726703671</v>
      </c>
      <c r="Q230" s="48">
        <f>($B$5+SUM($D$13:$D230))</f>
        <v>2870071.5430616485</v>
      </c>
    </row>
    <row r="231" spans="2:17">
      <c r="B231" s="45">
        <f>'Ипотечный калькулятор'!$C$21</f>
        <v>0.29000000000000004</v>
      </c>
      <c r="C231" s="46">
        <v>219</v>
      </c>
      <c r="D231" s="48">
        <f>PPMT($B231/12,1,$C$5-C231+1,$B$5+SUM($D$13:D230),0)</f>
        <v>-100370.47280083162</v>
      </c>
      <c r="E231" s="48">
        <f>IFERROR(-($B$5+SUM($D$13:$D230))*$B231/12,0)</f>
        <v>-69360.062290656511</v>
      </c>
      <c r="F231" s="48">
        <f t="shared" si="12"/>
        <v>-169730.53509148813</v>
      </c>
      <c r="G231" s="48">
        <f>($B$5+SUM($D$13:$D231))</f>
        <v>2769701.0702608172</v>
      </c>
      <c r="K231" s="45">
        <f t="shared" si="13"/>
        <v>3.7999999999999999E-2</v>
      </c>
      <c r="L231" s="46">
        <v>219</v>
      </c>
      <c r="M231" s="5">
        <f t="shared" si="14"/>
        <v>0</v>
      </c>
      <c r="N231" s="48">
        <f>PPMT($K231/12,1,$C$5-L231+1,$B$5+SUM($N$13:N230),0)</f>
        <v>-38992.382953123713</v>
      </c>
      <c r="O231" s="48">
        <f>-($B$5+SUM($N$13:$N230))*$K231/12</f>
        <v>-2808.7277735799721</v>
      </c>
      <c r="P231" s="48">
        <f t="shared" si="15"/>
        <v>-41801.110726703686</v>
      </c>
      <c r="Q231" s="48">
        <f>($B$5+SUM($D$13:$D231))</f>
        <v>2769701.0702608172</v>
      </c>
    </row>
    <row r="232" spans="2:17">
      <c r="B232" s="45">
        <f>'Ипотечный калькулятор'!$C$21</f>
        <v>0.29000000000000004</v>
      </c>
      <c r="C232" s="47">
        <v>220</v>
      </c>
      <c r="D232" s="48">
        <f>PPMT($B232/12,1,$C$5-C232+1,$B$5+SUM($D$13:D231),0)</f>
        <v>-102796.09256018506</v>
      </c>
      <c r="E232" s="48">
        <f>IFERROR(-($B$5+SUM($D$13:$D231))*$B232/12,0)</f>
        <v>-66934.442531303081</v>
      </c>
      <c r="F232" s="48">
        <f t="shared" si="12"/>
        <v>-169730.53509148816</v>
      </c>
      <c r="G232" s="48">
        <f>($B$5+SUM($D$13:$D232))</f>
        <v>2666904.9777006321</v>
      </c>
      <c r="K232" s="45">
        <f t="shared" si="13"/>
        <v>3.7999999999999999E-2</v>
      </c>
      <c r="L232" s="47">
        <v>220</v>
      </c>
      <c r="M232" s="5">
        <f t="shared" si="14"/>
        <v>0</v>
      </c>
      <c r="N232" s="48">
        <f>PPMT($K232/12,1,$C$5-L232+1,$B$5+SUM($N$13:N231),0)</f>
        <v>-39115.858832475256</v>
      </c>
      <c r="O232" s="48">
        <f>-($B$5+SUM($N$13:$N231))*$K232/12</f>
        <v>-2685.2518942284123</v>
      </c>
      <c r="P232" s="48">
        <f t="shared" si="15"/>
        <v>-41801.110726703671</v>
      </c>
      <c r="Q232" s="48">
        <f>($B$5+SUM($D$13:$D232))</f>
        <v>2666904.9777006321</v>
      </c>
    </row>
    <row r="233" spans="2:17">
      <c r="B233" s="45">
        <f>'Ипотечный калькулятор'!$C$21</f>
        <v>0.29000000000000004</v>
      </c>
      <c r="C233" s="46">
        <v>221</v>
      </c>
      <c r="D233" s="48">
        <f>PPMT($B233/12,1,$C$5-C233+1,$B$5+SUM($D$13:D232),0)</f>
        <v>-105280.33146372286</v>
      </c>
      <c r="E233" s="48">
        <f>IFERROR(-($B$5+SUM($D$13:$D232))*$B233/12,0)</f>
        <v>-64450.203627765288</v>
      </c>
      <c r="F233" s="48">
        <f t="shared" si="12"/>
        <v>-169730.53509148816</v>
      </c>
      <c r="G233" s="48">
        <f>($B$5+SUM($D$13:$D233))</f>
        <v>2561624.6462369096</v>
      </c>
      <c r="K233" s="45">
        <f t="shared" si="13"/>
        <v>3.7999999999999999E-2</v>
      </c>
      <c r="L233" s="46">
        <v>221</v>
      </c>
      <c r="M233" s="5">
        <f t="shared" si="14"/>
        <v>0</v>
      </c>
      <c r="N233" s="48">
        <f>PPMT($K233/12,1,$C$5-L233+1,$B$5+SUM($N$13:N232),0)</f>
        <v>-39239.725718778122</v>
      </c>
      <c r="O233" s="48">
        <f>-($B$5+SUM($N$13:$N232))*$K233/12</f>
        <v>-2561.3850079255758</v>
      </c>
      <c r="P233" s="48">
        <f t="shared" si="15"/>
        <v>-41801.1107267037</v>
      </c>
      <c r="Q233" s="48">
        <f>($B$5+SUM($D$13:$D233))</f>
        <v>2561624.6462369096</v>
      </c>
    </row>
    <row r="234" spans="2:17">
      <c r="B234" s="45">
        <f>'Ипотечный калькулятор'!$C$21</f>
        <v>0.29000000000000004</v>
      </c>
      <c r="C234" s="47">
        <v>222</v>
      </c>
      <c r="D234" s="48">
        <f>PPMT($B234/12,1,$C$5-C234+1,$B$5+SUM($D$13:D233),0)</f>
        <v>-107824.60614076284</v>
      </c>
      <c r="E234" s="48">
        <f>IFERROR(-($B$5+SUM($D$13:$D233))*$B234/12,0)</f>
        <v>-61905.92895072532</v>
      </c>
      <c r="F234" s="48">
        <f t="shared" si="12"/>
        <v>-169730.53509148816</v>
      </c>
      <c r="G234" s="48">
        <f>($B$5+SUM($D$13:$D234))</f>
        <v>2453800.040096147</v>
      </c>
      <c r="K234" s="45">
        <f t="shared" si="13"/>
        <v>3.7999999999999999E-2</v>
      </c>
      <c r="L234" s="47">
        <v>222</v>
      </c>
      <c r="M234" s="5">
        <f t="shared" si="14"/>
        <v>0</v>
      </c>
      <c r="N234" s="48">
        <f>PPMT($K234/12,1,$C$5-L234+1,$B$5+SUM($N$13:N233),0)</f>
        <v>-39363.984850220899</v>
      </c>
      <c r="O234" s="48">
        <f>-($B$5+SUM($N$13:$N233))*$K234/12</f>
        <v>-2437.1258764827767</v>
      </c>
      <c r="P234" s="48">
        <f t="shared" si="15"/>
        <v>-41801.110726703679</v>
      </c>
      <c r="Q234" s="48">
        <f>($B$5+SUM($D$13:$D234))</f>
        <v>2453800.040096147</v>
      </c>
    </row>
    <row r="235" spans="2:17">
      <c r="B235" s="45">
        <f>'Ипотечный калькулятор'!$C$21</f>
        <v>0.29000000000000004</v>
      </c>
      <c r="C235" s="46">
        <v>223</v>
      </c>
      <c r="D235" s="48">
        <f>PPMT($B235/12,1,$C$5-C235+1,$B$5+SUM($D$13:D234),0)</f>
        <v>-110430.36745583129</v>
      </c>
      <c r="E235" s="48">
        <f>IFERROR(-($B$5+SUM($D$13:$D234))*$B235/12,0)</f>
        <v>-59300.167635656893</v>
      </c>
      <c r="F235" s="48">
        <f t="shared" si="12"/>
        <v>-169730.53509148819</v>
      </c>
      <c r="G235" s="48">
        <f>($B$5+SUM($D$13:$D235))</f>
        <v>2343369.6726403153</v>
      </c>
      <c r="K235" s="45">
        <f t="shared" si="13"/>
        <v>3.7999999999999999E-2</v>
      </c>
      <c r="L235" s="46">
        <v>223</v>
      </c>
      <c r="M235" s="5">
        <f t="shared" si="14"/>
        <v>0</v>
      </c>
      <c r="N235" s="48">
        <f>PPMT($K235/12,1,$C$5-L235+1,$B$5+SUM($N$13:N234),0)</f>
        <v>-39488.637468913243</v>
      </c>
      <c r="O235" s="48">
        <f>-($B$5+SUM($N$13:$N234))*$K235/12</f>
        <v>-2312.4732577904092</v>
      </c>
      <c r="P235" s="48">
        <f t="shared" si="15"/>
        <v>-41801.11072670365</v>
      </c>
      <c r="Q235" s="48">
        <f>($B$5+SUM($D$13:$D235))</f>
        <v>2343369.6726403153</v>
      </c>
    </row>
    <row r="236" spans="2:17">
      <c r="B236" s="45">
        <f>'Ипотечный калькулятор'!$C$21</f>
        <v>0.29000000000000004</v>
      </c>
      <c r="C236" s="47">
        <v>224</v>
      </c>
      <c r="D236" s="48">
        <f>PPMT($B236/12,1,$C$5-C236+1,$B$5+SUM($D$13:D235),0)</f>
        <v>-113099.10133601387</v>
      </c>
      <c r="E236" s="48">
        <f>IFERROR(-($B$5+SUM($D$13:$D235))*$B236/12,0)</f>
        <v>-56631.433755474289</v>
      </c>
      <c r="F236" s="48">
        <f t="shared" si="12"/>
        <v>-169730.53509148816</v>
      </c>
      <c r="G236" s="48">
        <f>($B$5+SUM($D$13:$D236))</f>
        <v>2230270.5713043017</v>
      </c>
      <c r="K236" s="45">
        <f t="shared" si="13"/>
        <v>3.7999999999999999E-2</v>
      </c>
      <c r="L236" s="47">
        <v>224</v>
      </c>
      <c r="M236" s="5">
        <f t="shared" si="14"/>
        <v>0</v>
      </c>
      <c r="N236" s="48">
        <f>PPMT($K236/12,1,$C$5-L236+1,$B$5+SUM($N$13:N235),0)</f>
        <v>-39613.684820898117</v>
      </c>
      <c r="O236" s="48">
        <f>-($B$5+SUM($N$13:$N235))*$K236/12</f>
        <v>-2187.4259058055163</v>
      </c>
      <c r="P236" s="48">
        <f t="shared" si="15"/>
        <v>-41801.110726703635</v>
      </c>
      <c r="Q236" s="48">
        <f>($B$5+SUM($D$13:$D236))</f>
        <v>2230270.5713043017</v>
      </c>
    </row>
    <row r="237" spans="2:17">
      <c r="B237" s="45">
        <f>'Ипотечный калькулятор'!$C$21</f>
        <v>0.29000000000000004</v>
      </c>
      <c r="C237" s="46">
        <v>225</v>
      </c>
      <c r="D237" s="48">
        <f>PPMT($B237/12,1,$C$5-C237+1,$B$5+SUM($D$13:D236),0)</f>
        <v>-115832.32961830086</v>
      </c>
      <c r="E237" s="48">
        <f>IFERROR(-($B$5+SUM($D$13:$D236))*$B237/12,0)</f>
        <v>-53898.2054731873</v>
      </c>
      <c r="F237" s="48">
        <f t="shared" si="12"/>
        <v>-169730.53509148816</v>
      </c>
      <c r="G237" s="48">
        <f>($B$5+SUM($D$13:$D237))</f>
        <v>2114438.2416860005</v>
      </c>
      <c r="K237" s="45">
        <f t="shared" si="13"/>
        <v>3.7999999999999999E-2</v>
      </c>
      <c r="L237" s="46">
        <v>225</v>
      </c>
      <c r="M237" s="5">
        <f t="shared" si="14"/>
        <v>0</v>
      </c>
      <c r="N237" s="48">
        <f>PPMT($K237/12,1,$C$5-L237+1,$B$5+SUM($N$13:N236),0)</f>
        <v>-39739.128156164305</v>
      </c>
      <c r="O237" s="48">
        <f>-($B$5+SUM($N$13:$N236))*$K237/12</f>
        <v>-2061.9825705393396</v>
      </c>
      <c r="P237" s="48">
        <f t="shared" si="15"/>
        <v>-41801.110726703642</v>
      </c>
      <c r="Q237" s="48">
        <f>($B$5+SUM($D$13:$D237))</f>
        <v>2114438.2416860005</v>
      </c>
    </row>
    <row r="238" spans="2:17">
      <c r="B238" s="45">
        <f>'Ипотечный калькулятор'!$C$21</f>
        <v>0.29000000000000004</v>
      </c>
      <c r="C238" s="47">
        <v>226</v>
      </c>
      <c r="D238" s="48">
        <f>PPMT($B238/12,1,$C$5-C238+1,$B$5+SUM($D$13:D237),0)</f>
        <v>-118631.61091740982</v>
      </c>
      <c r="E238" s="48">
        <f>IFERROR(-($B$5+SUM($D$13:$D237))*$B238/12,0)</f>
        <v>-51098.924174078355</v>
      </c>
      <c r="F238" s="48">
        <f t="shared" si="12"/>
        <v>-169730.53509148819</v>
      </c>
      <c r="G238" s="48">
        <f>($B$5+SUM($D$13:$D238))</f>
        <v>1995806.6307685906</v>
      </c>
      <c r="K238" s="45">
        <f t="shared" si="13"/>
        <v>3.7999999999999999E-2</v>
      </c>
      <c r="L238" s="47">
        <v>226</v>
      </c>
      <c r="M238" s="5">
        <f t="shared" si="14"/>
        <v>0</v>
      </c>
      <c r="N238" s="48">
        <f>PPMT($K238/12,1,$C$5-L238+1,$B$5+SUM($N$13:N237),0)</f>
        <v>-39864.968728658801</v>
      </c>
      <c r="O238" s="48">
        <f>-($B$5+SUM($N$13:$N237))*$K238/12</f>
        <v>-1936.1419980448181</v>
      </c>
      <c r="P238" s="48">
        <f t="shared" si="15"/>
        <v>-41801.11072670362</v>
      </c>
      <c r="Q238" s="48">
        <f>($B$5+SUM($D$13:$D238))</f>
        <v>1995806.6307685906</v>
      </c>
    </row>
    <row r="239" spans="2:17">
      <c r="B239" s="45">
        <f>'Ипотечный калькулятор'!$C$21</f>
        <v>0.29000000000000004</v>
      </c>
      <c r="C239" s="46">
        <v>227</v>
      </c>
      <c r="D239" s="48">
        <f>PPMT($B239/12,1,$C$5-C239+1,$B$5+SUM($D$13:D238),0)</f>
        <v>-121498.54151458053</v>
      </c>
      <c r="E239" s="48">
        <f>IFERROR(-($B$5+SUM($D$13:$D238))*$B239/12,0)</f>
        <v>-48231.993576907611</v>
      </c>
      <c r="F239" s="48">
        <f t="shared" si="12"/>
        <v>-169730.53509148816</v>
      </c>
      <c r="G239" s="48">
        <f>($B$5+SUM($D$13:$D239))</f>
        <v>1874308.0892540105</v>
      </c>
      <c r="K239" s="45">
        <f t="shared" si="13"/>
        <v>3.7999999999999999E-2</v>
      </c>
      <c r="L239" s="46">
        <v>227</v>
      </c>
      <c r="M239" s="5">
        <f t="shared" si="14"/>
        <v>0</v>
      </c>
      <c r="N239" s="48">
        <f>PPMT($K239/12,1,$C$5-L239+1,$B$5+SUM($N$13:N238),0)</f>
        <v>-39991.207796299561</v>
      </c>
      <c r="O239" s="48">
        <f>-($B$5+SUM($N$13:$N238))*$K239/12</f>
        <v>-1809.9029304040657</v>
      </c>
      <c r="P239" s="48">
        <f t="shared" si="15"/>
        <v>-41801.110726703628</v>
      </c>
      <c r="Q239" s="48">
        <f>($B$5+SUM($D$13:$D239))</f>
        <v>1874308.0892540105</v>
      </c>
    </row>
    <row r="240" spans="2:17">
      <c r="B240" s="45">
        <f>'Ипотечный калькулятор'!$C$21</f>
        <v>0.29000000000000004</v>
      </c>
      <c r="C240" s="47">
        <v>228</v>
      </c>
      <c r="D240" s="48">
        <f>PPMT($B240/12,1,$C$5-C240+1,$B$5+SUM($D$13:D239),0)</f>
        <v>-124434.7562678496</v>
      </c>
      <c r="E240" s="48">
        <f>IFERROR(-($B$5+SUM($D$13:$D239))*$B240/12,0)</f>
        <v>-45295.77882363859</v>
      </c>
      <c r="F240" s="48">
        <f t="shared" si="12"/>
        <v>-169730.53509148819</v>
      </c>
      <c r="G240" s="48">
        <f>($B$5+SUM($D$13:$D240))</f>
        <v>1749873.3329861611</v>
      </c>
      <c r="K240" s="45">
        <f t="shared" si="13"/>
        <v>3.7999999999999999E-2</v>
      </c>
      <c r="L240" s="47">
        <v>228</v>
      </c>
      <c r="M240" s="5">
        <f t="shared" si="14"/>
        <v>0</v>
      </c>
      <c r="N240" s="48">
        <f>PPMT($K240/12,1,$C$5-L240+1,$B$5+SUM($N$13:N239),0)</f>
        <v>-40117.846620987817</v>
      </c>
      <c r="O240" s="48">
        <f>-($B$5+SUM($N$13:$N239))*$K240/12</f>
        <v>-1683.2641057157828</v>
      </c>
      <c r="P240" s="48">
        <f t="shared" si="15"/>
        <v>-41801.110726703599</v>
      </c>
      <c r="Q240" s="48">
        <f>($B$5+SUM($D$13:$D240))</f>
        <v>1749873.3329861611</v>
      </c>
    </row>
    <row r="241" spans="2:17">
      <c r="B241" s="45">
        <f>'Ипотечный калькулятор'!$C$21</f>
        <v>0.29000000000000004</v>
      </c>
      <c r="C241" s="46">
        <v>229</v>
      </c>
      <c r="D241" s="48">
        <f>PPMT($B241/12,1,$C$5-C241+1,$B$5+SUM($D$13:D240),0)</f>
        <v>-127441.92954432264</v>
      </c>
      <c r="E241" s="48">
        <f>IFERROR(-($B$5+SUM($D$13:$D240))*$B241/12,0)</f>
        <v>-42288.605547165564</v>
      </c>
      <c r="F241" s="48">
        <f t="shared" si="12"/>
        <v>-169730.53509148821</v>
      </c>
      <c r="G241" s="48">
        <f>($B$5+SUM($D$13:$D241))</f>
        <v>1622431.4034418389</v>
      </c>
      <c r="K241" s="45">
        <f t="shared" si="13"/>
        <v>3.7999999999999999E-2</v>
      </c>
      <c r="L241" s="46">
        <v>229</v>
      </c>
      <c r="M241" s="5">
        <f t="shared" si="14"/>
        <v>0</v>
      </c>
      <c r="N241" s="48">
        <f>PPMT($K241/12,1,$C$5-L241+1,$B$5+SUM($N$13:N240),0)</f>
        <v>-40244.88646862092</v>
      </c>
      <c r="O241" s="48">
        <f>-($B$5+SUM($N$13:$N240))*$K241/12</f>
        <v>-1556.2242580826539</v>
      </c>
      <c r="P241" s="48">
        <f t="shared" si="15"/>
        <v>-41801.110726703577</v>
      </c>
      <c r="Q241" s="48">
        <f>($B$5+SUM($D$13:$D241))</f>
        <v>1622431.4034418389</v>
      </c>
    </row>
    <row r="242" spans="2:17">
      <c r="B242" s="45">
        <f>'Ипотечный калькулятор'!$C$21</f>
        <v>0.29000000000000004</v>
      </c>
      <c r="C242" s="47">
        <v>230</v>
      </c>
      <c r="D242" s="48">
        <f>PPMT($B242/12,1,$C$5-C242+1,$B$5+SUM($D$13:D241),0)</f>
        <v>-130521.77617497715</v>
      </c>
      <c r="E242" s="48">
        <f>IFERROR(-($B$5+SUM($D$13:$D241))*$B242/12,0)</f>
        <v>-39208.758916511113</v>
      </c>
      <c r="F242" s="48">
        <f t="shared" si="12"/>
        <v>-169730.53509148827</v>
      </c>
      <c r="G242" s="48">
        <f>($B$5+SUM($D$13:$D242))</f>
        <v>1491909.6272668615</v>
      </c>
      <c r="K242" s="45">
        <f t="shared" si="13"/>
        <v>3.7999999999999999E-2</v>
      </c>
      <c r="L242" s="47">
        <v>230</v>
      </c>
      <c r="M242" s="5">
        <f t="shared" si="14"/>
        <v>0</v>
      </c>
      <c r="N242" s="48">
        <f>PPMT($K242/12,1,$C$5-L242+1,$B$5+SUM($N$13:N241),0)</f>
        <v>-40372.328609104887</v>
      </c>
      <c r="O242" s="48">
        <f>-($B$5+SUM($N$13:$N241))*$K242/12</f>
        <v>-1428.7821175986874</v>
      </c>
      <c r="P242" s="48">
        <f t="shared" si="15"/>
        <v>-41801.110726703577</v>
      </c>
      <c r="Q242" s="48">
        <f>($B$5+SUM($D$13:$D242))</f>
        <v>1491909.6272668615</v>
      </c>
    </row>
    <row r="243" spans="2:17">
      <c r="B243" s="45">
        <f>'Ипотечный калькулятор'!$C$21</f>
        <v>0.29000000000000004</v>
      </c>
      <c r="C243" s="46">
        <v>231</v>
      </c>
      <c r="D243" s="48">
        <f>PPMT($B243/12,1,$C$5-C243+1,$B$5+SUM($D$13:D242),0)</f>
        <v>-133676.05243253909</v>
      </c>
      <c r="E243" s="48">
        <f>IFERROR(-($B$5+SUM($D$13:$D242))*$B243/12,0)</f>
        <v>-36054.482658949157</v>
      </c>
      <c r="F243" s="48">
        <f t="shared" si="12"/>
        <v>-169730.53509148824</v>
      </c>
      <c r="G243" s="48">
        <f>($B$5+SUM($D$13:$D243))</f>
        <v>1358233.5748343226</v>
      </c>
      <c r="K243" s="45">
        <f t="shared" si="13"/>
        <v>3.7999999999999999E-2</v>
      </c>
      <c r="L243" s="46">
        <v>231</v>
      </c>
      <c r="M243" s="5">
        <f t="shared" si="14"/>
        <v>0</v>
      </c>
      <c r="N243" s="48">
        <f>PPMT($K243/12,1,$C$5-L243+1,$B$5+SUM($N$13:N242),0)</f>
        <v>-40500.174316367025</v>
      </c>
      <c r="O243" s="48">
        <f>-($B$5+SUM($N$13:$N242))*$K243/12</f>
        <v>-1300.936410336521</v>
      </c>
      <c r="P243" s="48">
        <f t="shared" si="15"/>
        <v>-41801.110726703548</v>
      </c>
      <c r="Q243" s="48">
        <f>($B$5+SUM($D$13:$D243))</f>
        <v>1358233.5748343226</v>
      </c>
    </row>
    <row r="244" spans="2:17">
      <c r="B244" s="45">
        <f>'Ипотечный калькулятор'!$C$21</f>
        <v>0.29000000000000004</v>
      </c>
      <c r="C244" s="47">
        <v>232</v>
      </c>
      <c r="D244" s="48">
        <f>PPMT($B244/12,1,$C$5-C244+1,$B$5+SUM($D$13:D243),0)</f>
        <v>-136906.55703299207</v>
      </c>
      <c r="E244" s="48">
        <f>IFERROR(-($B$5+SUM($D$13:$D243))*$B244/12,0)</f>
        <v>-32823.978058496134</v>
      </c>
      <c r="F244" s="48">
        <f t="shared" si="12"/>
        <v>-169730.53509148821</v>
      </c>
      <c r="G244" s="48">
        <f>($B$5+SUM($D$13:$D244))</f>
        <v>1221327.0178013304</v>
      </c>
      <c r="K244" s="45">
        <f t="shared" si="13"/>
        <v>3.7999999999999999E-2</v>
      </c>
      <c r="L244" s="47">
        <v>232</v>
      </c>
      <c r="M244" s="5">
        <f t="shared" si="14"/>
        <v>0</v>
      </c>
      <c r="N244" s="48">
        <f>PPMT($K244/12,1,$C$5-L244+1,$B$5+SUM($N$13:N243),0)</f>
        <v>-40628.424868368835</v>
      </c>
      <c r="O244" s="48">
        <f>-($B$5+SUM($N$13:$N243))*$K244/12</f>
        <v>-1172.6858583346918</v>
      </c>
      <c r="P244" s="48">
        <f t="shared" si="15"/>
        <v>-41801.110726703526</v>
      </c>
      <c r="Q244" s="48">
        <f>($B$5+SUM($D$13:$D244))</f>
        <v>1221327.0178013304</v>
      </c>
    </row>
    <row r="245" spans="2:17">
      <c r="B245" s="45">
        <f>'Ипотечный калькулятор'!$C$21</f>
        <v>0.29000000000000004</v>
      </c>
      <c r="C245" s="46">
        <v>233</v>
      </c>
      <c r="D245" s="48">
        <f>PPMT($B245/12,1,$C$5-C245+1,$B$5+SUM($D$13:D244),0)</f>
        <v>-140215.13216128942</v>
      </c>
      <c r="E245" s="48">
        <f>IFERROR(-($B$5+SUM($D$13:$D244))*$B245/12,0)</f>
        <v>-29515.402930198823</v>
      </c>
      <c r="F245" s="48">
        <f t="shared" si="12"/>
        <v>-169730.53509148824</v>
      </c>
      <c r="G245" s="48">
        <f>($B$5+SUM($D$13:$D245))</f>
        <v>1081111.885640041</v>
      </c>
      <c r="K245" s="45">
        <f t="shared" si="13"/>
        <v>3.7999999999999999E-2</v>
      </c>
      <c r="L245" s="46">
        <v>233</v>
      </c>
      <c r="M245" s="5">
        <f t="shared" si="14"/>
        <v>0</v>
      </c>
      <c r="N245" s="48">
        <f>PPMT($K245/12,1,$C$5-L245+1,$B$5+SUM($N$13:N244),0)</f>
        <v>-40757.081547118709</v>
      </c>
      <c r="O245" s="48">
        <f>-($B$5+SUM($N$13:$N244))*$K245/12</f>
        <v>-1044.029179584858</v>
      </c>
      <c r="P245" s="48">
        <f t="shared" si="15"/>
        <v>-41801.11072670357</v>
      </c>
      <c r="Q245" s="48">
        <f>($B$5+SUM($D$13:$D245))</f>
        <v>1081111.885640041</v>
      </c>
    </row>
    <row r="246" spans="2:17">
      <c r="B246" s="45">
        <f>'Ипотечный калькулятор'!$C$21</f>
        <v>0.29000000000000004</v>
      </c>
      <c r="C246" s="47">
        <v>234</v>
      </c>
      <c r="D246" s="48">
        <f>PPMT($B246/12,1,$C$5-C246+1,$B$5+SUM($D$13:D245),0)</f>
        <v>-143603.66452185388</v>
      </c>
      <c r="E246" s="48">
        <f>IFERROR(-($B$5+SUM($D$13:$D245))*$B246/12,0)</f>
        <v>-26126.870569634328</v>
      </c>
      <c r="F246" s="48">
        <f t="shared" si="12"/>
        <v>-169730.53509148821</v>
      </c>
      <c r="G246" s="48">
        <f>($B$5+SUM($D$13:$D246))</f>
        <v>937508.22111818753</v>
      </c>
      <c r="K246" s="45">
        <f t="shared" si="13"/>
        <v>3.7999999999999999E-2</v>
      </c>
      <c r="L246" s="47">
        <v>234</v>
      </c>
      <c r="M246" s="5">
        <f t="shared" si="14"/>
        <v>0</v>
      </c>
      <c r="N246" s="48">
        <f>PPMT($K246/12,1,$C$5-L246+1,$B$5+SUM($N$13:N245),0)</f>
        <v>-40886.145638684589</v>
      </c>
      <c r="O246" s="48">
        <f>-($B$5+SUM($N$13:$N245))*$K246/12</f>
        <v>-914.96508801898199</v>
      </c>
      <c r="P246" s="48">
        <f t="shared" si="15"/>
        <v>-41801.11072670357</v>
      </c>
      <c r="Q246" s="48">
        <f>($B$5+SUM($D$13:$D246))</f>
        <v>937508.22111818753</v>
      </c>
    </row>
    <row r="247" spans="2:17">
      <c r="B247" s="45">
        <f>'Ипотечный калькулятор'!$C$21</f>
        <v>0.29000000000000004</v>
      </c>
      <c r="C247" s="46">
        <v>235</v>
      </c>
      <c r="D247" s="48">
        <f>PPMT($B247/12,1,$C$5-C247+1,$B$5+SUM($D$13:D246),0)</f>
        <v>-147074.08641446545</v>
      </c>
      <c r="E247" s="48">
        <f>IFERROR(-($B$5+SUM($D$13:$D246))*$B247/12,0)</f>
        <v>-22656.448677022869</v>
      </c>
      <c r="F247" s="48">
        <f t="shared" si="12"/>
        <v>-169730.53509148833</v>
      </c>
      <c r="G247" s="48">
        <f>($B$5+SUM($D$13:$D247))</f>
        <v>790434.13470372185</v>
      </c>
      <c r="K247" s="45">
        <f t="shared" si="13"/>
        <v>3.7999999999999999E-2</v>
      </c>
      <c r="L247" s="46">
        <v>235</v>
      </c>
      <c r="M247" s="5">
        <f t="shared" si="14"/>
        <v>0</v>
      </c>
      <c r="N247" s="48">
        <f>PPMT($K247/12,1,$C$5-L247+1,$B$5+SUM($N$13:N246),0)</f>
        <v>-41015.618433207062</v>
      </c>
      <c r="O247" s="48">
        <f>-($B$5+SUM($N$13:$N246))*$K247/12</f>
        <v>-785.49229349648033</v>
      </c>
      <c r="P247" s="48">
        <f t="shared" si="15"/>
        <v>-41801.11072670354</v>
      </c>
      <c r="Q247" s="48">
        <f>($B$5+SUM($D$13:$D247))</f>
        <v>790434.13470372185</v>
      </c>
    </row>
    <row r="248" spans="2:17">
      <c r="B248" s="45">
        <f>'Ипотечный калькулятор'!$C$21</f>
        <v>0.29000000000000004</v>
      </c>
      <c r="C248" s="47">
        <v>236</v>
      </c>
      <c r="D248" s="48">
        <f>PPMT($B248/12,1,$C$5-C248+1,$B$5+SUM($D$13:D247),0)</f>
        <v>-150628.37683614832</v>
      </c>
      <c r="E248" s="48">
        <f>IFERROR(-($B$5+SUM($D$13:$D247))*$B248/12,0)</f>
        <v>-19102.158255339946</v>
      </c>
      <c r="F248" s="48">
        <f t="shared" si="12"/>
        <v>-169730.53509148827</v>
      </c>
      <c r="G248" s="48">
        <f>($B$5+SUM($D$13:$D248))</f>
        <v>639805.75786757376</v>
      </c>
      <c r="K248" s="45">
        <f t="shared" si="13"/>
        <v>3.7999999999999999E-2</v>
      </c>
      <c r="L248" s="47">
        <v>236</v>
      </c>
      <c r="M248" s="5">
        <f t="shared" si="14"/>
        <v>0</v>
      </c>
      <c r="N248" s="48">
        <f>PPMT($K248/12,1,$C$5-L248+1,$B$5+SUM($N$13:N247),0)</f>
        <v>-41145.501224912179</v>
      </c>
      <c r="O248" s="48">
        <f>-($B$5+SUM($N$13:$N247))*$K248/12</f>
        <v>-655.60950179132396</v>
      </c>
      <c r="P248" s="48">
        <f t="shared" si="15"/>
        <v>-41801.110726703504</v>
      </c>
      <c r="Q248" s="48">
        <f>($B$5+SUM($D$13:$D248))</f>
        <v>639805.75786757376</v>
      </c>
    </row>
    <row r="249" spans="2:17">
      <c r="B249" s="45">
        <f>'Ипотечный калькулятор'!$C$21</f>
        <v>0.29000000000000004</v>
      </c>
      <c r="C249" s="46">
        <v>237</v>
      </c>
      <c r="D249" s="48">
        <f>PPMT($B249/12,1,$C$5-C249+1,$B$5+SUM($D$13:D248),0)</f>
        <v>-154268.56260968861</v>
      </c>
      <c r="E249" s="48">
        <f>IFERROR(-($B$5+SUM($D$13:$D248))*$B249/12,0)</f>
        <v>-15461.972481799699</v>
      </c>
      <c r="F249" s="48">
        <f t="shared" si="12"/>
        <v>-169730.5350914883</v>
      </c>
      <c r="G249" s="48">
        <f>($B$5+SUM($D$13:$D249))</f>
        <v>485537.19525788538</v>
      </c>
      <c r="K249" s="45">
        <f t="shared" si="13"/>
        <v>3.7999999999999999E-2</v>
      </c>
      <c r="L249" s="46">
        <v>237</v>
      </c>
      <c r="M249" s="5">
        <f t="shared" si="14"/>
        <v>0</v>
      </c>
      <c r="N249" s="48">
        <f>PPMT($K249/12,1,$C$5-L249+1,$B$5+SUM($N$13:N248),0)</f>
        <v>-41275.795312124494</v>
      </c>
      <c r="O249" s="48">
        <f>-($B$5+SUM($N$13:$N248))*$K249/12</f>
        <v>-525.31541457910339</v>
      </c>
      <c r="P249" s="48">
        <f t="shared" si="15"/>
        <v>-41801.110726703599</v>
      </c>
      <c r="Q249" s="48">
        <f>($B$5+SUM($D$13:$D249))</f>
        <v>485537.19525788538</v>
      </c>
    </row>
    <row r="250" spans="2:17">
      <c r="B250" s="45">
        <f>'Ипотечный калькулятор'!$C$21</f>
        <v>0.29000000000000004</v>
      </c>
      <c r="C250" s="47">
        <v>238</v>
      </c>
      <c r="D250" s="48">
        <f>PPMT($B250/12,1,$C$5-C250+1,$B$5+SUM($D$13:D249),0)</f>
        <v>-157996.71953942283</v>
      </c>
      <c r="E250" s="48">
        <f>IFERROR(-($B$5+SUM($D$13:$D249))*$B250/12,0)</f>
        <v>-11733.815552065564</v>
      </c>
      <c r="F250" s="48">
        <f t="shared" si="12"/>
        <v>-169730.53509148839</v>
      </c>
      <c r="G250" s="48">
        <f>($B$5+SUM($D$13:$D250))</f>
        <v>327540.47571846284</v>
      </c>
      <c r="K250" s="45">
        <f t="shared" si="13"/>
        <v>3.7999999999999999E-2</v>
      </c>
      <c r="L250" s="47">
        <v>238</v>
      </c>
      <c r="M250" s="5">
        <f t="shared" si="14"/>
        <v>0</v>
      </c>
      <c r="N250" s="48">
        <f>PPMT($K250/12,1,$C$5-L250+1,$B$5+SUM($N$13:N249),0)</f>
        <v>-41406.501997279622</v>
      </c>
      <c r="O250" s="48">
        <f>-($B$5+SUM($N$13:$N249))*$K250/12</f>
        <v>-394.60872942404308</v>
      </c>
      <c r="P250" s="48">
        <f t="shared" si="15"/>
        <v>-41801.110726703664</v>
      </c>
      <c r="Q250" s="48">
        <f>($B$5+SUM($D$13:$D250))</f>
        <v>327540.47571846284</v>
      </c>
    </row>
    <row r="251" spans="2:17">
      <c r="B251" s="45">
        <f>'Ипотечный калькулятор'!$C$21</f>
        <v>0.29000000000000004</v>
      </c>
      <c r="C251" s="46">
        <v>239</v>
      </c>
      <c r="D251" s="48">
        <f>PPMT($B251/12,1,$C$5-C251+1,$B$5+SUM($D$13:D250),0)</f>
        <v>-161814.97359495901</v>
      </c>
      <c r="E251" s="48">
        <f>IFERROR(-($B$5+SUM($D$13:$D250))*$B251/12,0)</f>
        <v>-7915.5614965295199</v>
      </c>
      <c r="F251" s="48">
        <f t="shared" si="12"/>
        <v>-169730.53509148853</v>
      </c>
      <c r="G251" s="48">
        <f>($B$5+SUM($D$13:$D251))</f>
        <v>165725.50212350395</v>
      </c>
      <c r="K251" s="45">
        <f t="shared" si="13"/>
        <v>3.7999999999999999E-2</v>
      </c>
      <c r="L251" s="46">
        <v>239</v>
      </c>
      <c r="M251" s="5">
        <f t="shared" si="14"/>
        <v>0</v>
      </c>
      <c r="N251" s="48">
        <f>PPMT($K251/12,1,$C$5-L251+1,$B$5+SUM($N$13:N250),0)</f>
        <v>-41537.622586937519</v>
      </c>
      <c r="O251" s="48">
        <f>-($B$5+SUM($N$13:$N250))*$K251/12</f>
        <v>-263.48813976598996</v>
      </c>
      <c r="P251" s="48">
        <f t="shared" si="15"/>
        <v>-41801.110726703511</v>
      </c>
      <c r="Q251" s="48">
        <f>($B$5+SUM($D$13:$D251))</f>
        <v>165725.50212350395</v>
      </c>
    </row>
    <row r="252" spans="2:17">
      <c r="B252" s="45">
        <f>'Ипотечный калькулятор'!$C$21</f>
        <v>0.29000000000000004</v>
      </c>
      <c r="C252" s="47">
        <v>240</v>
      </c>
      <c r="D252" s="48">
        <f>PPMT($B252/12,1,$C$5-C252+1,$B$5+SUM($D$13:D251),0)</f>
        <v>-165725.50212350395</v>
      </c>
      <c r="E252" s="48">
        <f>IFERROR(-($B$5+SUM($D$13:$D251))*$B252/12,0)</f>
        <v>-4005.0329679846795</v>
      </c>
      <c r="F252" s="48">
        <f t="shared" si="12"/>
        <v>-169730.53509148862</v>
      </c>
      <c r="G252" s="48">
        <f>($B$5+SUM($D$13:$D252))</f>
        <v>0</v>
      </c>
      <c r="K252" s="45">
        <f t="shared" si="13"/>
        <v>3.7999999999999999E-2</v>
      </c>
      <c r="L252" s="47">
        <v>240</v>
      </c>
      <c r="M252" s="5">
        <f t="shared" si="14"/>
        <v>0</v>
      </c>
      <c r="N252" s="48">
        <f>PPMT($K252/12,1,$C$5-L252+1,$B$5+SUM($N$13:N251),0)</f>
        <v>-41669.158391796045</v>
      </c>
      <c r="O252" s="48">
        <f>-($B$5+SUM($N$13:$N251))*$K252/12</f>
        <v>-131.95233490735416</v>
      </c>
      <c r="P252" s="48">
        <f t="shared" si="15"/>
        <v>-41801.110726703402</v>
      </c>
      <c r="Q252" s="48">
        <f>($B$5+SUM($D$13:$D252))</f>
        <v>0</v>
      </c>
    </row>
    <row r="253" spans="2:17">
      <c r="B253" s="45">
        <f>'Ипотечный калькулятор'!$C$21</f>
        <v>0.29000000000000004</v>
      </c>
      <c r="C253" s="47">
        <v>241</v>
      </c>
      <c r="D253" s="48" t="e">
        <f>PPMT($B253/12,1,$C$5-C253+1,$B$5+SUM($D$13:D252),0)</f>
        <v>#NUM!</v>
      </c>
      <c r="E253" s="48">
        <f>IFERROR(-($B$5+SUM($D$13:$D252))*$B253/12,0)</f>
        <v>0</v>
      </c>
      <c r="F253" s="48" t="e">
        <f t="shared" si="12"/>
        <v>#NUM!</v>
      </c>
      <c r="G253" s="48" t="e">
        <f>($B$5+SUM($D$13:$D253))</f>
        <v>#NUM!</v>
      </c>
      <c r="K253" s="45">
        <f t="shared" si="13"/>
        <v>3.7999999999999999E-2</v>
      </c>
      <c r="L253" s="46">
        <v>241</v>
      </c>
      <c r="M253" s="5">
        <f t="shared" si="14"/>
        <v>0</v>
      </c>
      <c r="N253" s="48" t="e">
        <f>PPMT($K253/12,1,$C$5-L253+1,$B$5+SUM($N$13:N252),0)</f>
        <v>#NUM!</v>
      </c>
      <c r="O253" s="48">
        <f>-($B$5+SUM($N$13:$N252))*$K253/12</f>
        <v>0</v>
      </c>
      <c r="P253" s="48" t="e">
        <f t="shared" si="15"/>
        <v>#NUM!</v>
      </c>
      <c r="Q253" s="48" t="e">
        <f>($B$5+SUM($D$13:$D253))</f>
        <v>#NUM!</v>
      </c>
    </row>
    <row r="254" spans="2:17">
      <c r="B254" s="45">
        <f>'Ипотечный калькулятор'!$C$21</f>
        <v>0.29000000000000004</v>
      </c>
      <c r="C254" s="47">
        <v>242</v>
      </c>
      <c r="D254" s="48" t="e">
        <f>PPMT($B254/12,1,$C$5-C254+1,$B$5+SUM($D$13:D253),0)</f>
        <v>#NUM!</v>
      </c>
      <c r="E254" s="48">
        <f>IFERROR(-($B$5+SUM($D$13:$D253))*$B254/12,0)</f>
        <v>0</v>
      </c>
      <c r="F254" s="48" t="e">
        <f t="shared" si="12"/>
        <v>#NUM!</v>
      </c>
      <c r="G254" s="48" t="e">
        <f>($B$5+SUM($D$13:$D254))</f>
        <v>#NUM!</v>
      </c>
      <c r="K254" s="45">
        <f t="shared" si="13"/>
        <v>3.7999999999999999E-2</v>
      </c>
      <c r="L254" s="47">
        <v>242</v>
      </c>
      <c r="M254" s="5">
        <f t="shared" si="14"/>
        <v>0</v>
      </c>
      <c r="N254" s="48" t="e">
        <f>PPMT($K254/12,1,$C$5-L254+1,$B$5+SUM($N$13:N253),0)</f>
        <v>#NUM!</v>
      </c>
      <c r="O254" s="48" t="e">
        <f>-($B$5+SUM($N$13:$N253))*$K254/12</f>
        <v>#NUM!</v>
      </c>
      <c r="P254" s="48" t="e">
        <f t="shared" si="15"/>
        <v>#NUM!</v>
      </c>
      <c r="Q254" s="48" t="e">
        <f>($B$5+SUM($D$13:$D254))</f>
        <v>#NUM!</v>
      </c>
    </row>
    <row r="255" spans="2:17">
      <c r="B255" s="45">
        <f>'Ипотечный калькулятор'!$C$21</f>
        <v>0.29000000000000004</v>
      </c>
      <c r="C255" s="47">
        <v>243</v>
      </c>
      <c r="D255" s="48" t="e">
        <f>PPMT($B255/12,1,$C$5-C255+1,$B$5+SUM($D$13:D254),0)</f>
        <v>#NUM!</v>
      </c>
      <c r="E255" s="48">
        <f>IFERROR(-($B$5+SUM($D$13:$D254))*$B255/12,0)</f>
        <v>0</v>
      </c>
      <c r="F255" s="48" t="e">
        <f t="shared" si="12"/>
        <v>#NUM!</v>
      </c>
      <c r="G255" s="48" t="e">
        <f>($B$5+SUM($D$13:$D255))</f>
        <v>#NUM!</v>
      </c>
      <c r="K255" s="45">
        <f t="shared" si="13"/>
        <v>3.7999999999999999E-2</v>
      </c>
      <c r="L255" s="46">
        <v>243</v>
      </c>
      <c r="M255" s="5">
        <f t="shared" si="14"/>
        <v>0</v>
      </c>
      <c r="N255" s="48" t="e">
        <f>PPMT($K255/12,1,$C$5-L255+1,$B$5+SUM($N$13:N254),0)</f>
        <v>#NUM!</v>
      </c>
      <c r="O255" s="48" t="e">
        <f>-($B$5+SUM($N$13:$N254))*$K255/12</f>
        <v>#NUM!</v>
      </c>
      <c r="P255" s="48" t="e">
        <f t="shared" si="15"/>
        <v>#NUM!</v>
      </c>
      <c r="Q255" s="48" t="e">
        <f>($B$5+SUM($D$13:$D255))</f>
        <v>#NUM!</v>
      </c>
    </row>
    <row r="256" spans="2:17">
      <c r="B256" s="45">
        <f>'Ипотечный калькулятор'!$C$21</f>
        <v>0.29000000000000004</v>
      </c>
      <c r="C256" s="47">
        <v>244</v>
      </c>
      <c r="D256" s="48" t="e">
        <f>PPMT($B256/12,1,$C$5-C256+1,$B$5+SUM($D$13:D255),0)</f>
        <v>#NUM!</v>
      </c>
      <c r="E256" s="48">
        <f>IFERROR(-($B$5+SUM($D$13:$D255))*$B256/12,0)</f>
        <v>0</v>
      </c>
      <c r="F256" s="48" t="e">
        <f t="shared" si="12"/>
        <v>#NUM!</v>
      </c>
      <c r="G256" s="48" t="e">
        <f>($B$5+SUM($D$13:$D256))</f>
        <v>#NUM!</v>
      </c>
      <c r="K256" s="45">
        <f t="shared" si="13"/>
        <v>3.7999999999999999E-2</v>
      </c>
      <c r="L256" s="47">
        <v>244</v>
      </c>
      <c r="M256" s="5">
        <f t="shared" si="14"/>
        <v>0</v>
      </c>
      <c r="N256" s="48" t="e">
        <f>PPMT($K256/12,1,$C$5-L256+1,$B$5+SUM($N$13:N255),0)</f>
        <v>#NUM!</v>
      </c>
      <c r="O256" s="48" t="e">
        <f>-($B$5+SUM($N$13:$N255))*$K256/12</f>
        <v>#NUM!</v>
      </c>
      <c r="P256" s="48" t="e">
        <f t="shared" si="15"/>
        <v>#NUM!</v>
      </c>
      <c r="Q256" s="48" t="e">
        <f>($B$5+SUM($D$13:$D256))</f>
        <v>#NUM!</v>
      </c>
    </row>
    <row r="257" spans="2:17">
      <c r="B257" s="45">
        <f>'Ипотечный калькулятор'!$C$21</f>
        <v>0.29000000000000004</v>
      </c>
      <c r="C257" s="47">
        <v>245</v>
      </c>
      <c r="D257" s="48" t="e">
        <f>PPMT($B257/12,1,$C$5-C257+1,$B$5+SUM($D$13:D256),0)</f>
        <v>#NUM!</v>
      </c>
      <c r="E257" s="48">
        <f>IFERROR(-($B$5+SUM($D$13:$D256))*$B257/12,0)</f>
        <v>0</v>
      </c>
      <c r="F257" s="48" t="e">
        <f t="shared" si="12"/>
        <v>#NUM!</v>
      </c>
      <c r="G257" s="48" t="e">
        <f>($B$5+SUM($D$13:$D257))</f>
        <v>#NUM!</v>
      </c>
      <c r="K257" s="45">
        <f t="shared" si="13"/>
        <v>3.7999999999999999E-2</v>
      </c>
      <c r="L257" s="46">
        <v>245</v>
      </c>
      <c r="M257" s="5">
        <f t="shared" si="14"/>
        <v>0</v>
      </c>
      <c r="N257" s="48" t="e">
        <f>PPMT($K257/12,1,$C$5-L257+1,$B$5+SUM($N$13:N256),0)</f>
        <v>#NUM!</v>
      </c>
      <c r="O257" s="48" t="e">
        <f>-($B$5+SUM($N$13:$N256))*$K257/12</f>
        <v>#NUM!</v>
      </c>
      <c r="P257" s="48" t="e">
        <f t="shared" si="15"/>
        <v>#NUM!</v>
      </c>
      <c r="Q257" s="48" t="e">
        <f>($B$5+SUM($D$13:$D257))</f>
        <v>#NUM!</v>
      </c>
    </row>
    <row r="258" spans="2:17">
      <c r="B258" s="45">
        <f>'Ипотечный калькулятор'!$C$21</f>
        <v>0.29000000000000004</v>
      </c>
      <c r="C258" s="47">
        <v>246</v>
      </c>
      <c r="D258" s="48" t="e">
        <f>PPMT($B258/12,1,$C$5-C258+1,$B$5+SUM($D$13:D257),0)</f>
        <v>#NUM!</v>
      </c>
      <c r="E258" s="48">
        <f>IFERROR(-($B$5+SUM($D$13:$D257))*$B258/12,0)</f>
        <v>0</v>
      </c>
      <c r="F258" s="48" t="e">
        <f t="shared" si="12"/>
        <v>#NUM!</v>
      </c>
      <c r="G258" s="48" t="e">
        <f>($B$5+SUM($D$13:$D258))</f>
        <v>#NUM!</v>
      </c>
      <c r="K258" s="45">
        <f t="shared" si="13"/>
        <v>3.7999999999999999E-2</v>
      </c>
      <c r="L258" s="47">
        <v>246</v>
      </c>
      <c r="M258" s="5">
        <f t="shared" si="14"/>
        <v>0</v>
      </c>
      <c r="N258" s="48" t="e">
        <f>PPMT($K258/12,1,$C$5-L258+1,$B$5+SUM($N$13:N257),0)</f>
        <v>#NUM!</v>
      </c>
      <c r="O258" s="48" t="e">
        <f>-($B$5+SUM($N$13:$N257))*$K258/12</f>
        <v>#NUM!</v>
      </c>
      <c r="P258" s="48" t="e">
        <f t="shared" si="15"/>
        <v>#NUM!</v>
      </c>
      <c r="Q258" s="48" t="e">
        <f>($B$5+SUM($D$13:$D258))</f>
        <v>#NUM!</v>
      </c>
    </row>
    <row r="259" spans="2:17">
      <c r="B259" s="45">
        <f>'Ипотечный калькулятор'!$C$21</f>
        <v>0.29000000000000004</v>
      </c>
      <c r="C259" s="47">
        <v>247</v>
      </c>
      <c r="D259" s="48" t="e">
        <f>PPMT($B259/12,1,$C$5-C259+1,$B$5+SUM($D$13:D258),0)</f>
        <v>#NUM!</v>
      </c>
      <c r="E259" s="48">
        <f>IFERROR(-($B$5+SUM($D$13:$D258))*$B259/12,0)</f>
        <v>0</v>
      </c>
      <c r="F259" s="48" t="e">
        <f t="shared" si="12"/>
        <v>#NUM!</v>
      </c>
      <c r="G259" s="48" t="e">
        <f>($B$5+SUM($D$13:$D259))</f>
        <v>#NUM!</v>
      </c>
      <c r="K259" s="45">
        <f t="shared" si="13"/>
        <v>3.7999999999999999E-2</v>
      </c>
      <c r="L259" s="46">
        <v>247</v>
      </c>
      <c r="M259" s="5">
        <f t="shared" si="14"/>
        <v>0</v>
      </c>
      <c r="N259" s="48" t="e">
        <f>PPMT($K259/12,1,$C$5-L259+1,$B$5+SUM($N$13:N258),0)</f>
        <v>#NUM!</v>
      </c>
      <c r="O259" s="48" t="e">
        <f>-($B$5+SUM($N$13:$N258))*$K259/12</f>
        <v>#NUM!</v>
      </c>
      <c r="P259" s="48" t="e">
        <f t="shared" si="15"/>
        <v>#NUM!</v>
      </c>
      <c r="Q259" s="48" t="e">
        <f>($B$5+SUM($D$13:$D259))</f>
        <v>#NUM!</v>
      </c>
    </row>
    <row r="260" spans="2:17">
      <c r="B260" s="45">
        <f>'Ипотечный калькулятор'!$C$21</f>
        <v>0.29000000000000004</v>
      </c>
      <c r="C260" s="47">
        <v>248</v>
      </c>
      <c r="D260" s="48" t="e">
        <f>PPMT($B260/12,1,$C$5-C260+1,$B$5+SUM($D$13:D259),0)</f>
        <v>#NUM!</v>
      </c>
      <c r="E260" s="48">
        <f>IFERROR(-($B$5+SUM($D$13:$D259))*$B260/12,0)</f>
        <v>0</v>
      </c>
      <c r="F260" s="48" t="e">
        <f t="shared" si="12"/>
        <v>#NUM!</v>
      </c>
      <c r="G260" s="48" t="e">
        <f>($B$5+SUM($D$13:$D260))</f>
        <v>#NUM!</v>
      </c>
      <c r="K260" s="45">
        <f t="shared" si="13"/>
        <v>3.7999999999999999E-2</v>
      </c>
      <c r="L260" s="47">
        <v>248</v>
      </c>
      <c r="M260" s="5">
        <f t="shared" si="14"/>
        <v>0</v>
      </c>
      <c r="N260" s="48" t="e">
        <f>PPMT($K260/12,1,$C$5-L260+1,$B$5+SUM($N$13:N259),0)</f>
        <v>#NUM!</v>
      </c>
      <c r="O260" s="48" t="e">
        <f>-($B$5+SUM($N$13:$N259))*$K260/12</f>
        <v>#NUM!</v>
      </c>
      <c r="P260" s="48" t="e">
        <f t="shared" si="15"/>
        <v>#NUM!</v>
      </c>
      <c r="Q260" s="48" t="e">
        <f>($B$5+SUM($D$13:$D260))</f>
        <v>#NUM!</v>
      </c>
    </row>
    <row r="261" spans="2:17">
      <c r="B261" s="45">
        <f>'Ипотечный калькулятор'!$C$21</f>
        <v>0.29000000000000004</v>
      </c>
      <c r="C261" s="47">
        <v>249</v>
      </c>
      <c r="D261" s="48" t="e">
        <f>PPMT($B261/12,1,$C$5-C261+1,$B$5+SUM($D$13:D260),0)</f>
        <v>#NUM!</v>
      </c>
      <c r="E261" s="48">
        <f>IFERROR(-($B$5+SUM($D$13:$D260))*$B261/12,0)</f>
        <v>0</v>
      </c>
      <c r="F261" s="48" t="e">
        <f t="shared" si="12"/>
        <v>#NUM!</v>
      </c>
      <c r="G261" s="48" t="e">
        <f>($B$5+SUM($D$13:$D261))</f>
        <v>#NUM!</v>
      </c>
      <c r="K261" s="45">
        <f t="shared" si="13"/>
        <v>3.7999999999999999E-2</v>
      </c>
      <c r="L261" s="46">
        <v>249</v>
      </c>
      <c r="M261" s="5">
        <f t="shared" si="14"/>
        <v>0</v>
      </c>
      <c r="N261" s="48" t="e">
        <f>PPMT($K261/12,1,$C$5-L261+1,$B$5+SUM($N$13:N260),0)</f>
        <v>#NUM!</v>
      </c>
      <c r="O261" s="48" t="e">
        <f>-($B$5+SUM($N$13:$N260))*$K261/12</f>
        <v>#NUM!</v>
      </c>
      <c r="P261" s="48" t="e">
        <f t="shared" si="15"/>
        <v>#NUM!</v>
      </c>
      <c r="Q261" s="48" t="e">
        <f>($B$5+SUM($D$13:$D261))</f>
        <v>#NUM!</v>
      </c>
    </row>
    <row r="262" spans="2:17">
      <c r="B262" s="45">
        <f>'Ипотечный калькулятор'!$C$21</f>
        <v>0.29000000000000004</v>
      </c>
      <c r="C262" s="47">
        <v>250</v>
      </c>
      <c r="D262" s="48" t="e">
        <f>PPMT($B262/12,1,$C$5-C262+1,$B$5+SUM($D$13:D261),0)</f>
        <v>#NUM!</v>
      </c>
      <c r="E262" s="48">
        <f>IFERROR(-($B$5+SUM($D$13:$D261))*$B262/12,0)</f>
        <v>0</v>
      </c>
      <c r="F262" s="48" t="e">
        <f t="shared" si="12"/>
        <v>#NUM!</v>
      </c>
      <c r="G262" s="48" t="e">
        <f>($B$5+SUM($D$13:$D262))</f>
        <v>#NUM!</v>
      </c>
      <c r="K262" s="45">
        <f t="shared" si="13"/>
        <v>3.7999999999999999E-2</v>
      </c>
      <c r="L262" s="47">
        <v>250</v>
      </c>
      <c r="M262" s="5">
        <f t="shared" si="14"/>
        <v>0</v>
      </c>
      <c r="N262" s="48" t="e">
        <f>PPMT($K262/12,1,$C$5-L262+1,$B$5+SUM($N$13:N261),0)</f>
        <v>#NUM!</v>
      </c>
      <c r="O262" s="48" t="e">
        <f>-($B$5+SUM($N$13:$N261))*$K262/12</f>
        <v>#NUM!</v>
      </c>
      <c r="P262" s="48" t="e">
        <f t="shared" si="15"/>
        <v>#NUM!</v>
      </c>
      <c r="Q262" s="48" t="e">
        <f>($B$5+SUM($D$13:$D262))</f>
        <v>#NUM!</v>
      </c>
    </row>
    <row r="263" spans="2:17">
      <c r="B263" s="45">
        <f>'Ипотечный калькулятор'!$C$21</f>
        <v>0.29000000000000004</v>
      </c>
      <c r="C263" s="47">
        <v>251</v>
      </c>
      <c r="D263" s="48" t="e">
        <f>PPMT($B263/12,1,$C$5-C263+1,$B$5+SUM($D$13:D262),0)</f>
        <v>#NUM!</v>
      </c>
      <c r="E263" s="48">
        <f>IFERROR(-($B$5+SUM($D$13:$D262))*$B263/12,0)</f>
        <v>0</v>
      </c>
      <c r="F263" s="48" t="e">
        <f t="shared" si="12"/>
        <v>#NUM!</v>
      </c>
      <c r="G263" s="48" t="e">
        <f>($B$5+SUM($D$13:$D263))</f>
        <v>#NUM!</v>
      </c>
      <c r="K263" s="45">
        <f t="shared" si="13"/>
        <v>3.7999999999999999E-2</v>
      </c>
      <c r="L263" s="46">
        <v>251</v>
      </c>
      <c r="M263" s="5">
        <f t="shared" si="14"/>
        <v>0</v>
      </c>
      <c r="N263" s="48" t="e">
        <f>PPMT($K263/12,1,$C$5-L263+1,$B$5+SUM($N$13:N262),0)</f>
        <v>#NUM!</v>
      </c>
      <c r="O263" s="48" t="e">
        <f>-($B$5+SUM($N$13:$N262))*$K263/12</f>
        <v>#NUM!</v>
      </c>
      <c r="P263" s="48" t="e">
        <f t="shared" si="15"/>
        <v>#NUM!</v>
      </c>
      <c r="Q263" s="48" t="e">
        <f>($B$5+SUM($D$13:$D263))</f>
        <v>#NUM!</v>
      </c>
    </row>
    <row r="264" spans="2:17">
      <c r="B264" s="45">
        <f>'Ипотечный калькулятор'!$C$21</f>
        <v>0.29000000000000004</v>
      </c>
      <c r="C264" s="47">
        <v>252</v>
      </c>
      <c r="D264" s="48" t="e">
        <f>PPMT($B264/12,1,$C$5-C264+1,$B$5+SUM($D$13:D263),0)</f>
        <v>#NUM!</v>
      </c>
      <c r="E264" s="48">
        <f>IFERROR(-($B$5+SUM($D$13:$D263))*$B264/12,0)</f>
        <v>0</v>
      </c>
      <c r="F264" s="48" t="e">
        <f t="shared" si="12"/>
        <v>#NUM!</v>
      </c>
      <c r="G264" s="48" t="e">
        <f>($B$5+SUM($D$13:$D264))</f>
        <v>#NUM!</v>
      </c>
      <c r="K264" s="45">
        <f t="shared" si="13"/>
        <v>3.7999999999999999E-2</v>
      </c>
      <c r="L264" s="47">
        <v>252</v>
      </c>
      <c r="M264" s="5">
        <f t="shared" si="14"/>
        <v>0</v>
      </c>
      <c r="N264" s="48" t="e">
        <f>PPMT($K264/12,1,$C$5-L264+1,$B$5+SUM($N$13:N263),0)</f>
        <v>#NUM!</v>
      </c>
      <c r="O264" s="48" t="e">
        <f>-($B$5+SUM($N$13:$N263))*$K264/12</f>
        <v>#NUM!</v>
      </c>
      <c r="P264" s="48" t="e">
        <f t="shared" si="15"/>
        <v>#NUM!</v>
      </c>
      <c r="Q264" s="48" t="e">
        <f>($B$5+SUM($D$13:$D264))</f>
        <v>#NUM!</v>
      </c>
    </row>
    <row r="265" spans="2:17">
      <c r="B265" s="45">
        <f>'Ипотечный калькулятор'!$C$21</f>
        <v>0.29000000000000004</v>
      </c>
      <c r="C265" s="47">
        <v>253</v>
      </c>
      <c r="D265" s="48" t="e">
        <f>PPMT($B265/12,1,$C$5-C265+1,$B$5+SUM($D$13:D264),0)</f>
        <v>#NUM!</v>
      </c>
      <c r="E265" s="48">
        <f>IFERROR(-($B$5+SUM($D$13:$D264))*$B265/12,0)</f>
        <v>0</v>
      </c>
      <c r="F265" s="48" t="e">
        <f t="shared" si="12"/>
        <v>#NUM!</v>
      </c>
      <c r="G265" s="48" t="e">
        <f>($B$5+SUM($D$13:$D265))</f>
        <v>#NUM!</v>
      </c>
      <c r="K265" s="45">
        <f t="shared" si="13"/>
        <v>3.7999999999999999E-2</v>
      </c>
      <c r="L265" s="46">
        <v>253</v>
      </c>
      <c r="M265" s="5">
        <f t="shared" si="14"/>
        <v>0</v>
      </c>
      <c r="N265" s="48" t="e">
        <f>PPMT($K265/12,1,$C$5-L265+1,$B$5+SUM($N$13:N264),0)</f>
        <v>#NUM!</v>
      </c>
      <c r="O265" s="48" t="e">
        <f>-($B$5+SUM($N$13:$N264))*$K265/12</f>
        <v>#NUM!</v>
      </c>
      <c r="P265" s="48" t="e">
        <f t="shared" si="15"/>
        <v>#NUM!</v>
      </c>
      <c r="Q265" s="48" t="e">
        <f>($B$5+SUM($D$13:$D265))</f>
        <v>#NUM!</v>
      </c>
    </row>
    <row r="266" spans="2:17">
      <c r="B266" s="45">
        <f>'Ипотечный калькулятор'!$C$21</f>
        <v>0.29000000000000004</v>
      </c>
      <c r="C266" s="47">
        <v>254</v>
      </c>
      <c r="D266" s="48" t="e">
        <f>PPMT($B266/12,1,$C$5-C266+1,$B$5+SUM($D$13:D265),0)</f>
        <v>#NUM!</v>
      </c>
      <c r="E266" s="48">
        <f>IFERROR(-($B$5+SUM($D$13:$D265))*$B266/12,0)</f>
        <v>0</v>
      </c>
      <c r="F266" s="48" t="e">
        <f t="shared" si="12"/>
        <v>#NUM!</v>
      </c>
      <c r="G266" s="48" t="e">
        <f>($B$5+SUM($D$13:$D266))</f>
        <v>#NUM!</v>
      </c>
      <c r="K266" s="45">
        <f t="shared" si="13"/>
        <v>3.7999999999999999E-2</v>
      </c>
      <c r="L266" s="47">
        <v>254</v>
      </c>
      <c r="M266" s="5">
        <f t="shared" si="14"/>
        <v>0</v>
      </c>
      <c r="N266" s="48" t="e">
        <f>PPMT($K266/12,1,$C$5-L266+1,$B$5+SUM($N$13:N265),0)</f>
        <v>#NUM!</v>
      </c>
      <c r="O266" s="48" t="e">
        <f>-($B$5+SUM($N$13:$N265))*$K266/12</f>
        <v>#NUM!</v>
      </c>
      <c r="P266" s="48" t="e">
        <f t="shared" si="15"/>
        <v>#NUM!</v>
      </c>
      <c r="Q266" s="48" t="e">
        <f>($B$5+SUM($D$13:$D266))</f>
        <v>#NUM!</v>
      </c>
    </row>
    <row r="267" spans="2:17">
      <c r="B267" s="45">
        <f>'Ипотечный калькулятор'!$C$21</f>
        <v>0.29000000000000004</v>
      </c>
      <c r="C267" s="47">
        <v>255</v>
      </c>
      <c r="D267" s="48" t="e">
        <f>PPMT($B267/12,1,$C$5-C267+1,$B$5+SUM($D$13:D266),0)</f>
        <v>#NUM!</v>
      </c>
      <c r="E267" s="48">
        <f>IFERROR(-($B$5+SUM($D$13:$D266))*$B267/12,0)</f>
        <v>0</v>
      </c>
      <c r="F267" s="48" t="e">
        <f t="shared" si="12"/>
        <v>#NUM!</v>
      </c>
      <c r="G267" s="48" t="e">
        <f>($B$5+SUM($D$13:$D267))</f>
        <v>#NUM!</v>
      </c>
      <c r="K267" s="45">
        <f t="shared" si="13"/>
        <v>3.7999999999999999E-2</v>
      </c>
      <c r="L267" s="46">
        <v>255</v>
      </c>
      <c r="M267" s="5">
        <f t="shared" si="14"/>
        <v>0</v>
      </c>
      <c r="N267" s="48" t="e">
        <f>PPMT($K267/12,1,$C$5-L267+1,$B$5+SUM($N$13:N266),0)</f>
        <v>#NUM!</v>
      </c>
      <c r="O267" s="48" t="e">
        <f>-($B$5+SUM($N$13:$N266))*$K267/12</f>
        <v>#NUM!</v>
      </c>
      <c r="P267" s="48" t="e">
        <f t="shared" si="15"/>
        <v>#NUM!</v>
      </c>
      <c r="Q267" s="48" t="e">
        <f>($B$5+SUM($D$13:$D267))</f>
        <v>#NUM!</v>
      </c>
    </row>
    <row r="268" spans="2:17">
      <c r="B268" s="45">
        <f>'Ипотечный калькулятор'!$C$21</f>
        <v>0.29000000000000004</v>
      </c>
      <c r="C268" s="47">
        <v>256</v>
      </c>
      <c r="D268" s="48" t="e">
        <f>PPMT($B268/12,1,$C$5-C268+1,$B$5+SUM($D$13:D267),0)</f>
        <v>#NUM!</v>
      </c>
      <c r="E268" s="48">
        <f>IFERROR(-($B$5+SUM($D$13:$D267))*$B268/12,0)</f>
        <v>0</v>
      </c>
      <c r="F268" s="48" t="e">
        <f t="shared" si="12"/>
        <v>#NUM!</v>
      </c>
      <c r="G268" s="48" t="e">
        <f>($B$5+SUM($D$13:$D268))</f>
        <v>#NUM!</v>
      </c>
      <c r="K268" s="45">
        <f t="shared" si="13"/>
        <v>3.7999999999999999E-2</v>
      </c>
      <c r="L268" s="47">
        <v>256</v>
      </c>
      <c r="M268" s="5">
        <f t="shared" si="14"/>
        <v>0</v>
      </c>
      <c r="N268" s="48" t="e">
        <f>PPMT($K268/12,1,$C$5-L268+1,$B$5+SUM($N$13:N267),0)</f>
        <v>#NUM!</v>
      </c>
      <c r="O268" s="48" t="e">
        <f>-($B$5+SUM($N$13:$N267))*$K268/12</f>
        <v>#NUM!</v>
      </c>
      <c r="P268" s="48" t="e">
        <f t="shared" si="15"/>
        <v>#NUM!</v>
      </c>
      <c r="Q268" s="48" t="e">
        <f>($B$5+SUM($D$13:$D268))</f>
        <v>#NUM!</v>
      </c>
    </row>
    <row r="269" spans="2:17">
      <c r="B269" s="45">
        <f>'Ипотечный калькулятор'!$C$21</f>
        <v>0.29000000000000004</v>
      </c>
      <c r="C269" s="47">
        <v>257</v>
      </c>
      <c r="D269" s="48" t="e">
        <f>PPMT($B269/12,1,$C$5-C269+1,$B$5+SUM($D$13:D268),0)</f>
        <v>#NUM!</v>
      </c>
      <c r="E269" s="48">
        <f>IFERROR(-($B$5+SUM($D$13:$D268))*$B269/12,0)</f>
        <v>0</v>
      </c>
      <c r="F269" s="48" t="e">
        <f t="shared" ref="F269:F332" si="16">SUM(D269:E269)</f>
        <v>#NUM!</v>
      </c>
      <c r="G269" s="48" t="e">
        <f>($B$5+SUM($D$13:$D269))</f>
        <v>#NUM!</v>
      </c>
      <c r="K269" s="45">
        <f t="shared" si="13"/>
        <v>3.7999999999999999E-2</v>
      </c>
      <c r="L269" s="46">
        <v>257</v>
      </c>
      <c r="M269" s="5">
        <f t="shared" si="14"/>
        <v>0</v>
      </c>
      <c r="N269" s="48" t="e">
        <f>PPMT($K269/12,1,$C$5-L269+1,$B$5+SUM($N$13:N268),0)</f>
        <v>#NUM!</v>
      </c>
      <c r="O269" s="48" t="e">
        <f>-($B$5+SUM($N$13:$N268))*$K269/12</f>
        <v>#NUM!</v>
      </c>
      <c r="P269" s="48" t="e">
        <f t="shared" si="15"/>
        <v>#NUM!</v>
      </c>
      <c r="Q269" s="48" t="e">
        <f>($B$5+SUM($D$13:$D269))</f>
        <v>#NUM!</v>
      </c>
    </row>
    <row r="270" spans="2:17">
      <c r="B270" s="45">
        <f>'Ипотечный калькулятор'!$C$21</f>
        <v>0.29000000000000004</v>
      </c>
      <c r="C270" s="47">
        <v>258</v>
      </c>
      <c r="D270" s="48" t="e">
        <f>PPMT($B270/12,1,$C$5-C270+1,$B$5+SUM($D$13:D269),0)</f>
        <v>#NUM!</v>
      </c>
      <c r="E270" s="48">
        <f>IFERROR(-($B$5+SUM($D$13:$D269))*$B270/12,0)</f>
        <v>0</v>
      </c>
      <c r="F270" s="48" t="e">
        <f t="shared" si="16"/>
        <v>#NUM!</v>
      </c>
      <c r="G270" s="48" t="e">
        <f>($B$5+SUM($D$13:$D270))</f>
        <v>#NUM!</v>
      </c>
      <c r="K270" s="45">
        <f t="shared" ref="K270:K333" si="17">$K$5</f>
        <v>3.7999999999999999E-2</v>
      </c>
      <c r="L270" s="47">
        <v>258</v>
      </c>
      <c r="M270" s="5">
        <f t="shared" si="14"/>
        <v>0</v>
      </c>
      <c r="N270" s="48" t="e">
        <f>PPMT($K270/12,1,$C$5-L270+1,$B$5+SUM($N$13:N269),0)</f>
        <v>#NUM!</v>
      </c>
      <c r="O270" s="48" t="e">
        <f>-($B$5+SUM($N$13:$N269))*$K270/12</f>
        <v>#NUM!</v>
      </c>
      <c r="P270" s="48" t="e">
        <f t="shared" si="15"/>
        <v>#NUM!</v>
      </c>
      <c r="Q270" s="48" t="e">
        <f>($B$5+SUM($D$13:$D270))</f>
        <v>#NUM!</v>
      </c>
    </row>
    <row r="271" spans="2:17">
      <c r="B271" s="45">
        <f>'Ипотечный калькулятор'!$C$21</f>
        <v>0.29000000000000004</v>
      </c>
      <c r="C271" s="47">
        <v>259</v>
      </c>
      <c r="D271" s="48" t="e">
        <f>PPMT($B271/12,1,$C$5-C271+1,$B$5+SUM($D$13:D270),0)</f>
        <v>#NUM!</v>
      </c>
      <c r="E271" s="48">
        <f>IFERROR(-($B$5+SUM($D$13:$D270))*$B271/12,0)</f>
        <v>0</v>
      </c>
      <c r="F271" s="48" t="e">
        <f t="shared" si="16"/>
        <v>#NUM!</v>
      </c>
      <c r="G271" s="48" t="e">
        <f>($B$5+SUM($D$13:$D271))</f>
        <v>#NUM!</v>
      </c>
      <c r="K271" s="45">
        <f t="shared" si="17"/>
        <v>3.7999999999999999E-2</v>
      </c>
      <c r="L271" s="46">
        <v>259</v>
      </c>
      <c r="M271" s="5">
        <f t="shared" ref="M271:M334" si="18">IF(C271-2&lt;$L$5,IFERROR(F271-P271,0),0)</f>
        <v>0</v>
      </c>
      <c r="N271" s="48" t="e">
        <f>PPMT($K271/12,1,$C$5-L271+1,$B$5+SUM($N$13:N270),0)</f>
        <v>#NUM!</v>
      </c>
      <c r="O271" s="48" t="e">
        <f>-($B$5+SUM($N$13:$N270))*$K271/12</f>
        <v>#NUM!</v>
      </c>
      <c r="P271" s="48" t="e">
        <f t="shared" ref="P271:P334" si="19">SUM(N271:O271)</f>
        <v>#NUM!</v>
      </c>
      <c r="Q271" s="48" t="e">
        <f>($B$5+SUM($D$13:$D271))</f>
        <v>#NUM!</v>
      </c>
    </row>
    <row r="272" spans="2:17">
      <c r="B272" s="45">
        <f>'Ипотечный калькулятор'!$C$21</f>
        <v>0.29000000000000004</v>
      </c>
      <c r="C272" s="47">
        <v>260</v>
      </c>
      <c r="D272" s="48" t="e">
        <f>PPMT($B272/12,1,$C$5-C272+1,$B$5+SUM($D$13:D271),0)</f>
        <v>#NUM!</v>
      </c>
      <c r="E272" s="48">
        <f>IFERROR(-($B$5+SUM($D$13:$D271))*$B272/12,0)</f>
        <v>0</v>
      </c>
      <c r="F272" s="48" t="e">
        <f t="shared" si="16"/>
        <v>#NUM!</v>
      </c>
      <c r="G272" s="48" t="e">
        <f>($B$5+SUM($D$13:$D272))</f>
        <v>#NUM!</v>
      </c>
      <c r="K272" s="45">
        <f t="shared" si="17"/>
        <v>3.7999999999999999E-2</v>
      </c>
      <c r="L272" s="47">
        <v>260</v>
      </c>
      <c r="M272" s="5">
        <f t="shared" si="18"/>
        <v>0</v>
      </c>
      <c r="N272" s="48" t="e">
        <f>PPMT($K272/12,1,$C$5-L272+1,$B$5+SUM($N$13:N271),0)</f>
        <v>#NUM!</v>
      </c>
      <c r="O272" s="48" t="e">
        <f>-($B$5+SUM($N$13:$N271))*$K272/12</f>
        <v>#NUM!</v>
      </c>
      <c r="P272" s="48" t="e">
        <f t="shared" si="19"/>
        <v>#NUM!</v>
      </c>
      <c r="Q272" s="48" t="e">
        <f>($B$5+SUM($D$13:$D272))</f>
        <v>#NUM!</v>
      </c>
    </row>
    <row r="273" spans="2:17">
      <c r="B273" s="45">
        <f>'Ипотечный калькулятор'!$C$21</f>
        <v>0.29000000000000004</v>
      </c>
      <c r="C273" s="47">
        <v>261</v>
      </c>
      <c r="D273" s="48" t="e">
        <f>PPMT($B273/12,1,$C$5-C273+1,$B$5+SUM($D$13:D272),0)</f>
        <v>#NUM!</v>
      </c>
      <c r="E273" s="48">
        <f>IFERROR(-($B$5+SUM($D$13:$D272))*$B273/12,0)</f>
        <v>0</v>
      </c>
      <c r="F273" s="48" t="e">
        <f t="shared" si="16"/>
        <v>#NUM!</v>
      </c>
      <c r="G273" s="48" t="e">
        <f>($B$5+SUM($D$13:$D273))</f>
        <v>#NUM!</v>
      </c>
      <c r="K273" s="45">
        <f t="shared" si="17"/>
        <v>3.7999999999999999E-2</v>
      </c>
      <c r="L273" s="46">
        <v>261</v>
      </c>
      <c r="M273" s="5">
        <f t="shared" si="18"/>
        <v>0</v>
      </c>
      <c r="N273" s="48" t="e">
        <f>PPMT($K273/12,1,$C$5-L273+1,$B$5+SUM($N$13:N272),0)</f>
        <v>#NUM!</v>
      </c>
      <c r="O273" s="48" t="e">
        <f>-($B$5+SUM($N$13:$N272))*$K273/12</f>
        <v>#NUM!</v>
      </c>
      <c r="P273" s="48" t="e">
        <f t="shared" si="19"/>
        <v>#NUM!</v>
      </c>
      <c r="Q273" s="48" t="e">
        <f>($B$5+SUM($D$13:$D273))</f>
        <v>#NUM!</v>
      </c>
    </row>
    <row r="274" spans="2:17">
      <c r="B274" s="45">
        <f>'Ипотечный калькулятор'!$C$21</f>
        <v>0.29000000000000004</v>
      </c>
      <c r="C274" s="47">
        <v>262</v>
      </c>
      <c r="D274" s="48" t="e">
        <f>PPMT($B274/12,1,$C$5-C274+1,$B$5+SUM($D$13:D273),0)</f>
        <v>#NUM!</v>
      </c>
      <c r="E274" s="48">
        <f>IFERROR(-($B$5+SUM($D$13:$D273))*$B274/12,0)</f>
        <v>0</v>
      </c>
      <c r="F274" s="48" t="e">
        <f t="shared" si="16"/>
        <v>#NUM!</v>
      </c>
      <c r="G274" s="48" t="e">
        <f>($B$5+SUM($D$13:$D274))</f>
        <v>#NUM!</v>
      </c>
      <c r="K274" s="45">
        <f t="shared" si="17"/>
        <v>3.7999999999999999E-2</v>
      </c>
      <c r="L274" s="47">
        <v>262</v>
      </c>
      <c r="M274" s="5">
        <f t="shared" si="18"/>
        <v>0</v>
      </c>
      <c r="N274" s="48" t="e">
        <f>PPMT($K274/12,1,$C$5-L274+1,$B$5+SUM($N$13:N273),0)</f>
        <v>#NUM!</v>
      </c>
      <c r="O274" s="48" t="e">
        <f>-($B$5+SUM($N$13:$N273))*$K274/12</f>
        <v>#NUM!</v>
      </c>
      <c r="P274" s="48" t="e">
        <f t="shared" si="19"/>
        <v>#NUM!</v>
      </c>
      <c r="Q274" s="48" t="e">
        <f>($B$5+SUM($D$13:$D274))</f>
        <v>#NUM!</v>
      </c>
    </row>
    <row r="275" spans="2:17">
      <c r="B275" s="45">
        <f>'Ипотечный калькулятор'!$C$21</f>
        <v>0.29000000000000004</v>
      </c>
      <c r="C275" s="47">
        <v>263</v>
      </c>
      <c r="D275" s="48" t="e">
        <f>PPMT($B275/12,1,$C$5-C275+1,$B$5+SUM($D$13:D274),0)</f>
        <v>#NUM!</v>
      </c>
      <c r="E275" s="48">
        <f>IFERROR(-($B$5+SUM($D$13:$D274))*$B275/12,0)</f>
        <v>0</v>
      </c>
      <c r="F275" s="48" t="e">
        <f t="shared" si="16"/>
        <v>#NUM!</v>
      </c>
      <c r="G275" s="48" t="e">
        <f>($B$5+SUM($D$13:$D275))</f>
        <v>#NUM!</v>
      </c>
      <c r="K275" s="45">
        <f t="shared" si="17"/>
        <v>3.7999999999999999E-2</v>
      </c>
      <c r="L275" s="46">
        <v>263</v>
      </c>
      <c r="M275" s="5">
        <f t="shared" si="18"/>
        <v>0</v>
      </c>
      <c r="N275" s="48" t="e">
        <f>PPMT($K275/12,1,$C$5-L275+1,$B$5+SUM($N$13:N274),0)</f>
        <v>#NUM!</v>
      </c>
      <c r="O275" s="48" t="e">
        <f>-($B$5+SUM($N$13:$N274))*$K275/12</f>
        <v>#NUM!</v>
      </c>
      <c r="P275" s="48" t="e">
        <f t="shared" si="19"/>
        <v>#NUM!</v>
      </c>
      <c r="Q275" s="48" t="e">
        <f>($B$5+SUM($D$13:$D275))</f>
        <v>#NUM!</v>
      </c>
    </row>
    <row r="276" spans="2:17">
      <c r="B276" s="45">
        <f>'Ипотечный калькулятор'!$C$21</f>
        <v>0.29000000000000004</v>
      </c>
      <c r="C276" s="47">
        <v>264</v>
      </c>
      <c r="D276" s="48" t="e">
        <f>PPMT($B276/12,1,$C$5-C276+1,$B$5+SUM($D$13:D275),0)</f>
        <v>#NUM!</v>
      </c>
      <c r="E276" s="48">
        <f>IFERROR(-($B$5+SUM($D$13:$D275))*$B276/12,0)</f>
        <v>0</v>
      </c>
      <c r="F276" s="48" t="e">
        <f t="shared" si="16"/>
        <v>#NUM!</v>
      </c>
      <c r="G276" s="48" t="e">
        <f>($B$5+SUM($D$13:$D276))</f>
        <v>#NUM!</v>
      </c>
      <c r="K276" s="45">
        <f t="shared" si="17"/>
        <v>3.7999999999999999E-2</v>
      </c>
      <c r="L276" s="47">
        <v>264</v>
      </c>
      <c r="M276" s="5">
        <f t="shared" si="18"/>
        <v>0</v>
      </c>
      <c r="N276" s="48" t="e">
        <f>PPMT($K276/12,1,$C$5-L276+1,$B$5+SUM($N$13:N275),0)</f>
        <v>#NUM!</v>
      </c>
      <c r="O276" s="48" t="e">
        <f>-($B$5+SUM($N$13:$N275))*$K276/12</f>
        <v>#NUM!</v>
      </c>
      <c r="P276" s="48" t="e">
        <f t="shared" si="19"/>
        <v>#NUM!</v>
      </c>
      <c r="Q276" s="48" t="e">
        <f>($B$5+SUM($D$13:$D276))</f>
        <v>#NUM!</v>
      </c>
    </row>
    <row r="277" spans="2:17">
      <c r="B277" s="45">
        <f>'Ипотечный калькулятор'!$C$21</f>
        <v>0.29000000000000004</v>
      </c>
      <c r="C277" s="47">
        <v>265</v>
      </c>
      <c r="D277" s="48" t="e">
        <f>PPMT($B277/12,1,$C$5-C277+1,$B$5+SUM($D$13:D276),0)</f>
        <v>#NUM!</v>
      </c>
      <c r="E277" s="48">
        <f>IFERROR(-($B$5+SUM($D$13:$D276))*$B277/12,0)</f>
        <v>0</v>
      </c>
      <c r="F277" s="48" t="e">
        <f t="shared" si="16"/>
        <v>#NUM!</v>
      </c>
      <c r="G277" s="48" t="e">
        <f>($B$5+SUM($D$13:$D277))</f>
        <v>#NUM!</v>
      </c>
      <c r="K277" s="45">
        <f t="shared" si="17"/>
        <v>3.7999999999999999E-2</v>
      </c>
      <c r="L277" s="46">
        <v>265</v>
      </c>
      <c r="M277" s="5">
        <f t="shared" si="18"/>
        <v>0</v>
      </c>
      <c r="N277" s="48" t="e">
        <f>PPMT($K277/12,1,$C$5-L277+1,$B$5+SUM($N$13:N276),0)</f>
        <v>#NUM!</v>
      </c>
      <c r="O277" s="48" t="e">
        <f>-($B$5+SUM($N$13:$N276))*$K277/12</f>
        <v>#NUM!</v>
      </c>
      <c r="P277" s="48" t="e">
        <f t="shared" si="19"/>
        <v>#NUM!</v>
      </c>
      <c r="Q277" s="48" t="e">
        <f>($B$5+SUM($D$13:$D277))</f>
        <v>#NUM!</v>
      </c>
    </row>
    <row r="278" spans="2:17">
      <c r="B278" s="45">
        <f>'Ипотечный калькулятор'!$C$21</f>
        <v>0.29000000000000004</v>
      </c>
      <c r="C278" s="47">
        <v>266</v>
      </c>
      <c r="D278" s="48" t="e">
        <f>PPMT($B278/12,1,$C$5-C278+1,$B$5+SUM($D$13:D277),0)</f>
        <v>#NUM!</v>
      </c>
      <c r="E278" s="48">
        <f>IFERROR(-($B$5+SUM($D$13:$D277))*$B278/12,0)</f>
        <v>0</v>
      </c>
      <c r="F278" s="48" t="e">
        <f t="shared" si="16"/>
        <v>#NUM!</v>
      </c>
      <c r="G278" s="48" t="e">
        <f>($B$5+SUM($D$13:$D278))</f>
        <v>#NUM!</v>
      </c>
      <c r="K278" s="45">
        <f t="shared" si="17"/>
        <v>3.7999999999999999E-2</v>
      </c>
      <c r="L278" s="47">
        <v>266</v>
      </c>
      <c r="M278" s="5">
        <f t="shared" si="18"/>
        <v>0</v>
      </c>
      <c r="N278" s="48" t="e">
        <f>PPMT($K278/12,1,$C$5-L278+1,$B$5+SUM($N$13:N277),0)</f>
        <v>#NUM!</v>
      </c>
      <c r="O278" s="48" t="e">
        <f>-($B$5+SUM($N$13:$N277))*$K278/12</f>
        <v>#NUM!</v>
      </c>
      <c r="P278" s="48" t="e">
        <f t="shared" si="19"/>
        <v>#NUM!</v>
      </c>
      <c r="Q278" s="48" t="e">
        <f>($B$5+SUM($D$13:$D278))</f>
        <v>#NUM!</v>
      </c>
    </row>
    <row r="279" spans="2:17">
      <c r="B279" s="45">
        <f>'Ипотечный калькулятор'!$C$21</f>
        <v>0.29000000000000004</v>
      </c>
      <c r="C279" s="47">
        <v>267</v>
      </c>
      <c r="D279" s="48" t="e">
        <f>PPMT($B279/12,1,$C$5-C279+1,$B$5+SUM($D$13:D278),0)</f>
        <v>#NUM!</v>
      </c>
      <c r="E279" s="48">
        <f>IFERROR(-($B$5+SUM($D$13:$D278))*$B279/12,0)</f>
        <v>0</v>
      </c>
      <c r="F279" s="48" t="e">
        <f t="shared" si="16"/>
        <v>#NUM!</v>
      </c>
      <c r="G279" s="48" t="e">
        <f>($B$5+SUM($D$13:$D279))</f>
        <v>#NUM!</v>
      </c>
      <c r="K279" s="45">
        <f t="shared" si="17"/>
        <v>3.7999999999999999E-2</v>
      </c>
      <c r="L279" s="46">
        <v>267</v>
      </c>
      <c r="M279" s="5">
        <f t="shared" si="18"/>
        <v>0</v>
      </c>
      <c r="N279" s="48" t="e">
        <f>PPMT($K279/12,1,$C$5-L279+1,$B$5+SUM($N$13:N278),0)</f>
        <v>#NUM!</v>
      </c>
      <c r="O279" s="48" t="e">
        <f>-($B$5+SUM($N$13:$N278))*$K279/12</f>
        <v>#NUM!</v>
      </c>
      <c r="P279" s="48" t="e">
        <f t="shared" si="19"/>
        <v>#NUM!</v>
      </c>
      <c r="Q279" s="48" t="e">
        <f>($B$5+SUM($D$13:$D279))</f>
        <v>#NUM!</v>
      </c>
    </row>
    <row r="280" spans="2:17">
      <c r="B280" s="45">
        <f>'Ипотечный калькулятор'!$C$21</f>
        <v>0.29000000000000004</v>
      </c>
      <c r="C280" s="47">
        <v>268</v>
      </c>
      <c r="D280" s="48" t="e">
        <f>PPMT($B280/12,1,$C$5-C280+1,$B$5+SUM($D$13:D279),0)</f>
        <v>#NUM!</v>
      </c>
      <c r="E280" s="48">
        <f>IFERROR(-($B$5+SUM($D$13:$D279))*$B280/12,0)</f>
        <v>0</v>
      </c>
      <c r="F280" s="48" t="e">
        <f t="shared" si="16"/>
        <v>#NUM!</v>
      </c>
      <c r="G280" s="48" t="e">
        <f>($B$5+SUM($D$13:$D280))</f>
        <v>#NUM!</v>
      </c>
      <c r="K280" s="45">
        <f t="shared" si="17"/>
        <v>3.7999999999999999E-2</v>
      </c>
      <c r="L280" s="47">
        <v>268</v>
      </c>
      <c r="M280" s="5">
        <f t="shared" si="18"/>
        <v>0</v>
      </c>
      <c r="N280" s="48" t="e">
        <f>PPMT($K280/12,1,$C$5-L280+1,$B$5+SUM($N$13:N279),0)</f>
        <v>#NUM!</v>
      </c>
      <c r="O280" s="48" t="e">
        <f>-($B$5+SUM($N$13:$N279))*$K280/12</f>
        <v>#NUM!</v>
      </c>
      <c r="P280" s="48" t="e">
        <f t="shared" si="19"/>
        <v>#NUM!</v>
      </c>
      <c r="Q280" s="48" t="e">
        <f>($B$5+SUM($D$13:$D280))</f>
        <v>#NUM!</v>
      </c>
    </row>
    <row r="281" spans="2:17">
      <c r="B281" s="45">
        <f>'Ипотечный калькулятор'!$C$21</f>
        <v>0.29000000000000004</v>
      </c>
      <c r="C281" s="47">
        <v>269</v>
      </c>
      <c r="D281" s="48" t="e">
        <f>PPMT($B281/12,1,$C$5-C281+1,$B$5+SUM($D$13:D280),0)</f>
        <v>#NUM!</v>
      </c>
      <c r="E281" s="48">
        <f>IFERROR(-($B$5+SUM($D$13:$D280))*$B281/12,0)</f>
        <v>0</v>
      </c>
      <c r="F281" s="48" t="e">
        <f t="shared" si="16"/>
        <v>#NUM!</v>
      </c>
      <c r="G281" s="48" t="e">
        <f>($B$5+SUM($D$13:$D281))</f>
        <v>#NUM!</v>
      </c>
      <c r="K281" s="45">
        <f t="shared" si="17"/>
        <v>3.7999999999999999E-2</v>
      </c>
      <c r="L281" s="46">
        <v>269</v>
      </c>
      <c r="M281" s="5">
        <f t="shared" si="18"/>
        <v>0</v>
      </c>
      <c r="N281" s="48" t="e">
        <f>PPMT($K281/12,1,$C$5-L281+1,$B$5+SUM($N$13:N280),0)</f>
        <v>#NUM!</v>
      </c>
      <c r="O281" s="48" t="e">
        <f>-($B$5+SUM($N$13:$N280))*$K281/12</f>
        <v>#NUM!</v>
      </c>
      <c r="P281" s="48" t="e">
        <f t="shared" si="19"/>
        <v>#NUM!</v>
      </c>
      <c r="Q281" s="48" t="e">
        <f>($B$5+SUM($D$13:$D281))</f>
        <v>#NUM!</v>
      </c>
    </row>
    <row r="282" spans="2:17">
      <c r="B282" s="45">
        <f>'Ипотечный калькулятор'!$C$21</f>
        <v>0.29000000000000004</v>
      </c>
      <c r="C282" s="47">
        <v>270</v>
      </c>
      <c r="D282" s="48" t="e">
        <f>PPMT($B282/12,1,$C$5-C282+1,$B$5+SUM($D$13:D281),0)</f>
        <v>#NUM!</v>
      </c>
      <c r="E282" s="48">
        <f>IFERROR(-($B$5+SUM($D$13:$D281))*$B282/12,0)</f>
        <v>0</v>
      </c>
      <c r="F282" s="48" t="e">
        <f t="shared" si="16"/>
        <v>#NUM!</v>
      </c>
      <c r="G282" s="48" t="e">
        <f>($B$5+SUM($D$13:$D282))</f>
        <v>#NUM!</v>
      </c>
      <c r="K282" s="45">
        <f t="shared" si="17"/>
        <v>3.7999999999999999E-2</v>
      </c>
      <c r="L282" s="47">
        <v>270</v>
      </c>
      <c r="M282" s="5">
        <f t="shared" si="18"/>
        <v>0</v>
      </c>
      <c r="N282" s="48" t="e">
        <f>PPMT($K282/12,1,$C$5-L282+1,$B$5+SUM($N$13:N281),0)</f>
        <v>#NUM!</v>
      </c>
      <c r="O282" s="48" t="e">
        <f>-($B$5+SUM($N$13:$N281))*$K282/12</f>
        <v>#NUM!</v>
      </c>
      <c r="P282" s="48" t="e">
        <f t="shared" si="19"/>
        <v>#NUM!</v>
      </c>
      <c r="Q282" s="48" t="e">
        <f>($B$5+SUM($D$13:$D282))</f>
        <v>#NUM!</v>
      </c>
    </row>
    <row r="283" spans="2:17">
      <c r="B283" s="45">
        <f>'Ипотечный калькулятор'!$C$21</f>
        <v>0.29000000000000004</v>
      </c>
      <c r="C283" s="47">
        <v>271</v>
      </c>
      <c r="D283" s="48" t="e">
        <f>PPMT($B283/12,1,$C$5-C283+1,$B$5+SUM($D$13:D282),0)</f>
        <v>#NUM!</v>
      </c>
      <c r="E283" s="48">
        <f>IFERROR(-($B$5+SUM($D$13:$D282))*$B283/12,0)</f>
        <v>0</v>
      </c>
      <c r="F283" s="48" t="e">
        <f t="shared" si="16"/>
        <v>#NUM!</v>
      </c>
      <c r="G283" s="48" t="e">
        <f>($B$5+SUM($D$13:$D283))</f>
        <v>#NUM!</v>
      </c>
      <c r="K283" s="45">
        <f t="shared" si="17"/>
        <v>3.7999999999999999E-2</v>
      </c>
      <c r="L283" s="46">
        <v>271</v>
      </c>
      <c r="M283" s="5">
        <f t="shared" si="18"/>
        <v>0</v>
      </c>
      <c r="N283" s="48" t="e">
        <f>PPMT($K283/12,1,$C$5-L283+1,$B$5+SUM($N$13:N282),0)</f>
        <v>#NUM!</v>
      </c>
      <c r="O283" s="48" t="e">
        <f>-($B$5+SUM($N$13:$N282))*$K283/12</f>
        <v>#NUM!</v>
      </c>
      <c r="P283" s="48" t="e">
        <f t="shared" si="19"/>
        <v>#NUM!</v>
      </c>
      <c r="Q283" s="48" t="e">
        <f>($B$5+SUM($D$13:$D283))</f>
        <v>#NUM!</v>
      </c>
    </row>
    <row r="284" spans="2:17">
      <c r="B284" s="45">
        <f>'Ипотечный калькулятор'!$C$21</f>
        <v>0.29000000000000004</v>
      </c>
      <c r="C284" s="47">
        <v>272</v>
      </c>
      <c r="D284" s="48" t="e">
        <f>PPMT($B284/12,1,$C$5-C284+1,$B$5+SUM($D$13:D283),0)</f>
        <v>#NUM!</v>
      </c>
      <c r="E284" s="48">
        <f>IFERROR(-($B$5+SUM($D$13:$D283))*$B284/12,0)</f>
        <v>0</v>
      </c>
      <c r="F284" s="48" t="e">
        <f t="shared" si="16"/>
        <v>#NUM!</v>
      </c>
      <c r="G284" s="48" t="e">
        <f>($B$5+SUM($D$13:$D284))</f>
        <v>#NUM!</v>
      </c>
      <c r="K284" s="45">
        <f t="shared" si="17"/>
        <v>3.7999999999999999E-2</v>
      </c>
      <c r="L284" s="47">
        <v>272</v>
      </c>
      <c r="M284" s="5">
        <f t="shared" si="18"/>
        <v>0</v>
      </c>
      <c r="N284" s="48" t="e">
        <f>PPMT($K284/12,1,$C$5-L284+1,$B$5+SUM($N$13:N283),0)</f>
        <v>#NUM!</v>
      </c>
      <c r="O284" s="48" t="e">
        <f>-($B$5+SUM($N$13:$N283))*$K284/12</f>
        <v>#NUM!</v>
      </c>
      <c r="P284" s="48" t="e">
        <f t="shared" si="19"/>
        <v>#NUM!</v>
      </c>
      <c r="Q284" s="48" t="e">
        <f>($B$5+SUM($D$13:$D284))</f>
        <v>#NUM!</v>
      </c>
    </row>
    <row r="285" spans="2:17">
      <c r="B285" s="45">
        <f>'Ипотечный калькулятор'!$C$21</f>
        <v>0.29000000000000004</v>
      </c>
      <c r="C285" s="47">
        <v>273</v>
      </c>
      <c r="D285" s="48" t="e">
        <f>PPMT($B285/12,1,$C$5-C285+1,$B$5+SUM($D$13:D284),0)</f>
        <v>#NUM!</v>
      </c>
      <c r="E285" s="48">
        <f>IFERROR(-($B$5+SUM($D$13:$D284))*$B285/12,0)</f>
        <v>0</v>
      </c>
      <c r="F285" s="48" t="e">
        <f t="shared" si="16"/>
        <v>#NUM!</v>
      </c>
      <c r="G285" s="48" t="e">
        <f>($B$5+SUM($D$13:$D285))</f>
        <v>#NUM!</v>
      </c>
      <c r="K285" s="45">
        <f t="shared" si="17"/>
        <v>3.7999999999999999E-2</v>
      </c>
      <c r="L285" s="46">
        <v>273</v>
      </c>
      <c r="M285" s="5">
        <f t="shared" si="18"/>
        <v>0</v>
      </c>
      <c r="N285" s="48" t="e">
        <f>PPMT($K285/12,1,$C$5-L285+1,$B$5+SUM($N$13:N284),0)</f>
        <v>#NUM!</v>
      </c>
      <c r="O285" s="48" t="e">
        <f>-($B$5+SUM($N$13:$N284))*$K285/12</f>
        <v>#NUM!</v>
      </c>
      <c r="P285" s="48" t="e">
        <f t="shared" si="19"/>
        <v>#NUM!</v>
      </c>
      <c r="Q285" s="48" t="e">
        <f>($B$5+SUM($D$13:$D285))</f>
        <v>#NUM!</v>
      </c>
    </row>
    <row r="286" spans="2:17">
      <c r="B286" s="45">
        <f>'Ипотечный калькулятор'!$C$21</f>
        <v>0.29000000000000004</v>
      </c>
      <c r="C286" s="47">
        <v>274</v>
      </c>
      <c r="D286" s="48" t="e">
        <f>PPMT($B286/12,1,$C$5-C286+1,$B$5+SUM($D$13:D285),0)</f>
        <v>#NUM!</v>
      </c>
      <c r="E286" s="48">
        <f>IFERROR(-($B$5+SUM($D$13:$D285))*$B286/12,0)</f>
        <v>0</v>
      </c>
      <c r="F286" s="48" t="e">
        <f t="shared" si="16"/>
        <v>#NUM!</v>
      </c>
      <c r="G286" s="48" t="e">
        <f>($B$5+SUM($D$13:$D286))</f>
        <v>#NUM!</v>
      </c>
      <c r="K286" s="45">
        <f t="shared" si="17"/>
        <v>3.7999999999999999E-2</v>
      </c>
      <c r="L286" s="47">
        <v>274</v>
      </c>
      <c r="M286" s="5">
        <f t="shared" si="18"/>
        <v>0</v>
      </c>
      <c r="N286" s="48" t="e">
        <f>PPMT($K286/12,1,$C$5-L286+1,$B$5+SUM($N$13:N285),0)</f>
        <v>#NUM!</v>
      </c>
      <c r="O286" s="48" t="e">
        <f>-($B$5+SUM($N$13:$N285))*$K286/12</f>
        <v>#NUM!</v>
      </c>
      <c r="P286" s="48" t="e">
        <f t="shared" si="19"/>
        <v>#NUM!</v>
      </c>
      <c r="Q286" s="48" t="e">
        <f>($B$5+SUM($D$13:$D286))</f>
        <v>#NUM!</v>
      </c>
    </row>
    <row r="287" spans="2:17">
      <c r="B287" s="45">
        <f>'Ипотечный калькулятор'!$C$21</f>
        <v>0.29000000000000004</v>
      </c>
      <c r="C287" s="47">
        <v>275</v>
      </c>
      <c r="D287" s="48" t="e">
        <f>PPMT($B287/12,1,$C$5-C287+1,$B$5+SUM($D$13:D286),0)</f>
        <v>#NUM!</v>
      </c>
      <c r="E287" s="48">
        <f>IFERROR(-($B$5+SUM($D$13:$D286))*$B287/12,0)</f>
        <v>0</v>
      </c>
      <c r="F287" s="48" t="e">
        <f t="shared" si="16"/>
        <v>#NUM!</v>
      </c>
      <c r="G287" s="48" t="e">
        <f>($B$5+SUM($D$13:$D287))</f>
        <v>#NUM!</v>
      </c>
      <c r="K287" s="45">
        <f t="shared" si="17"/>
        <v>3.7999999999999999E-2</v>
      </c>
      <c r="L287" s="46">
        <v>275</v>
      </c>
      <c r="M287" s="5">
        <f t="shared" si="18"/>
        <v>0</v>
      </c>
      <c r="N287" s="48" t="e">
        <f>PPMT($K287/12,1,$C$5-L287+1,$B$5+SUM($N$13:N286),0)</f>
        <v>#NUM!</v>
      </c>
      <c r="O287" s="48" t="e">
        <f>-($B$5+SUM($N$13:$N286))*$K287/12</f>
        <v>#NUM!</v>
      </c>
      <c r="P287" s="48" t="e">
        <f t="shared" si="19"/>
        <v>#NUM!</v>
      </c>
      <c r="Q287" s="48" t="e">
        <f>($B$5+SUM($D$13:$D287))</f>
        <v>#NUM!</v>
      </c>
    </row>
    <row r="288" spans="2:17">
      <c r="B288" s="45">
        <f>'Ипотечный калькулятор'!$C$21</f>
        <v>0.29000000000000004</v>
      </c>
      <c r="C288" s="47">
        <v>276</v>
      </c>
      <c r="D288" s="48" t="e">
        <f>PPMT($B288/12,1,$C$5-C288+1,$B$5+SUM($D$13:D287),0)</f>
        <v>#NUM!</v>
      </c>
      <c r="E288" s="48">
        <f>IFERROR(-($B$5+SUM($D$13:$D287))*$B288/12,0)</f>
        <v>0</v>
      </c>
      <c r="F288" s="48" t="e">
        <f t="shared" si="16"/>
        <v>#NUM!</v>
      </c>
      <c r="G288" s="48" t="e">
        <f>($B$5+SUM($D$13:$D288))</f>
        <v>#NUM!</v>
      </c>
      <c r="K288" s="45">
        <f t="shared" si="17"/>
        <v>3.7999999999999999E-2</v>
      </c>
      <c r="L288" s="47">
        <v>276</v>
      </c>
      <c r="M288" s="5">
        <f t="shared" si="18"/>
        <v>0</v>
      </c>
      <c r="N288" s="48" t="e">
        <f>PPMT($K288/12,1,$C$5-L288+1,$B$5+SUM($N$13:N287),0)</f>
        <v>#NUM!</v>
      </c>
      <c r="O288" s="48" t="e">
        <f>-($B$5+SUM($N$13:$N287))*$K288/12</f>
        <v>#NUM!</v>
      </c>
      <c r="P288" s="48" t="e">
        <f t="shared" si="19"/>
        <v>#NUM!</v>
      </c>
      <c r="Q288" s="48" t="e">
        <f>($B$5+SUM($D$13:$D288))</f>
        <v>#NUM!</v>
      </c>
    </row>
    <row r="289" spans="2:17">
      <c r="B289" s="45">
        <f>'Ипотечный калькулятор'!$C$21</f>
        <v>0.29000000000000004</v>
      </c>
      <c r="C289" s="47">
        <v>277</v>
      </c>
      <c r="D289" s="48" t="e">
        <f>PPMT($B289/12,1,$C$5-C289+1,$B$5+SUM($D$13:D288),0)</f>
        <v>#NUM!</v>
      </c>
      <c r="E289" s="48">
        <f>IFERROR(-($B$5+SUM($D$13:$D288))*$B289/12,0)</f>
        <v>0</v>
      </c>
      <c r="F289" s="48" t="e">
        <f t="shared" si="16"/>
        <v>#NUM!</v>
      </c>
      <c r="G289" s="48" t="e">
        <f>($B$5+SUM($D$13:$D289))</f>
        <v>#NUM!</v>
      </c>
      <c r="K289" s="45">
        <f t="shared" si="17"/>
        <v>3.7999999999999999E-2</v>
      </c>
      <c r="L289" s="46">
        <v>277</v>
      </c>
      <c r="M289" s="5">
        <f t="shared" si="18"/>
        <v>0</v>
      </c>
      <c r="N289" s="48" t="e">
        <f>PPMT($K289/12,1,$C$5-L289+1,$B$5+SUM($N$13:N288),0)</f>
        <v>#NUM!</v>
      </c>
      <c r="O289" s="48" t="e">
        <f>-($B$5+SUM($N$13:$N288))*$K289/12</f>
        <v>#NUM!</v>
      </c>
      <c r="P289" s="48" t="e">
        <f t="shared" si="19"/>
        <v>#NUM!</v>
      </c>
      <c r="Q289" s="48" t="e">
        <f>($B$5+SUM($D$13:$D289))</f>
        <v>#NUM!</v>
      </c>
    </row>
    <row r="290" spans="2:17">
      <c r="B290" s="45">
        <f>'Ипотечный калькулятор'!$C$21</f>
        <v>0.29000000000000004</v>
      </c>
      <c r="C290" s="47">
        <v>278</v>
      </c>
      <c r="D290" s="48" t="e">
        <f>PPMT($B290/12,1,$C$5-C290+1,$B$5+SUM($D$13:D289),0)</f>
        <v>#NUM!</v>
      </c>
      <c r="E290" s="48">
        <f>IFERROR(-($B$5+SUM($D$13:$D289))*$B290/12,0)</f>
        <v>0</v>
      </c>
      <c r="F290" s="48" t="e">
        <f t="shared" si="16"/>
        <v>#NUM!</v>
      </c>
      <c r="G290" s="48" t="e">
        <f>($B$5+SUM($D$13:$D290))</f>
        <v>#NUM!</v>
      </c>
      <c r="K290" s="45">
        <f t="shared" si="17"/>
        <v>3.7999999999999999E-2</v>
      </c>
      <c r="L290" s="47">
        <v>278</v>
      </c>
      <c r="M290" s="5">
        <f t="shared" si="18"/>
        <v>0</v>
      </c>
      <c r="N290" s="48" t="e">
        <f>PPMT($K290/12,1,$C$5-L290+1,$B$5+SUM($N$13:N289),0)</f>
        <v>#NUM!</v>
      </c>
      <c r="O290" s="48" t="e">
        <f>-($B$5+SUM($N$13:$N289))*$K290/12</f>
        <v>#NUM!</v>
      </c>
      <c r="P290" s="48" t="e">
        <f t="shared" si="19"/>
        <v>#NUM!</v>
      </c>
      <c r="Q290" s="48" t="e">
        <f>($B$5+SUM($D$13:$D290))</f>
        <v>#NUM!</v>
      </c>
    </row>
    <row r="291" spans="2:17">
      <c r="B291" s="45">
        <f>'Ипотечный калькулятор'!$C$21</f>
        <v>0.29000000000000004</v>
      </c>
      <c r="C291" s="47">
        <v>279</v>
      </c>
      <c r="D291" s="48" t="e">
        <f>PPMT($B291/12,1,$C$5-C291+1,$B$5+SUM($D$13:D290),0)</f>
        <v>#NUM!</v>
      </c>
      <c r="E291" s="48">
        <f>IFERROR(-($B$5+SUM($D$13:$D290))*$B291/12,0)</f>
        <v>0</v>
      </c>
      <c r="F291" s="48" t="e">
        <f t="shared" si="16"/>
        <v>#NUM!</v>
      </c>
      <c r="G291" s="48" t="e">
        <f>($B$5+SUM($D$13:$D291))</f>
        <v>#NUM!</v>
      </c>
      <c r="K291" s="45">
        <f t="shared" si="17"/>
        <v>3.7999999999999999E-2</v>
      </c>
      <c r="L291" s="46">
        <v>279</v>
      </c>
      <c r="M291" s="5">
        <f t="shared" si="18"/>
        <v>0</v>
      </c>
      <c r="N291" s="48" t="e">
        <f>PPMT($K291/12,1,$C$5-L291+1,$B$5+SUM($N$13:N290),0)</f>
        <v>#NUM!</v>
      </c>
      <c r="O291" s="48" t="e">
        <f>-($B$5+SUM($N$13:$N290))*$K291/12</f>
        <v>#NUM!</v>
      </c>
      <c r="P291" s="48" t="e">
        <f t="shared" si="19"/>
        <v>#NUM!</v>
      </c>
      <c r="Q291" s="48" t="e">
        <f>($B$5+SUM($D$13:$D291))</f>
        <v>#NUM!</v>
      </c>
    </row>
    <row r="292" spans="2:17">
      <c r="B292" s="45">
        <f>'Ипотечный калькулятор'!$C$21</f>
        <v>0.29000000000000004</v>
      </c>
      <c r="C292" s="47">
        <v>280</v>
      </c>
      <c r="D292" s="48" t="e">
        <f>PPMT($B292/12,1,$C$5-C292+1,$B$5+SUM($D$13:D291),0)</f>
        <v>#NUM!</v>
      </c>
      <c r="E292" s="48">
        <f>IFERROR(-($B$5+SUM($D$13:$D291))*$B292/12,0)</f>
        <v>0</v>
      </c>
      <c r="F292" s="48" t="e">
        <f t="shared" si="16"/>
        <v>#NUM!</v>
      </c>
      <c r="G292" s="48" t="e">
        <f>($B$5+SUM($D$13:$D292))</f>
        <v>#NUM!</v>
      </c>
      <c r="K292" s="45">
        <f t="shared" si="17"/>
        <v>3.7999999999999999E-2</v>
      </c>
      <c r="L292" s="47">
        <v>280</v>
      </c>
      <c r="M292" s="5">
        <f t="shared" si="18"/>
        <v>0</v>
      </c>
      <c r="N292" s="48" t="e">
        <f>PPMT($K292/12,1,$C$5-L292+1,$B$5+SUM($N$13:N291),0)</f>
        <v>#NUM!</v>
      </c>
      <c r="O292" s="48" t="e">
        <f>-($B$5+SUM($N$13:$N291))*$K292/12</f>
        <v>#NUM!</v>
      </c>
      <c r="P292" s="48" t="e">
        <f t="shared" si="19"/>
        <v>#NUM!</v>
      </c>
      <c r="Q292" s="48" t="e">
        <f>($B$5+SUM($D$13:$D292))</f>
        <v>#NUM!</v>
      </c>
    </row>
    <row r="293" spans="2:17">
      <c r="B293" s="45">
        <f>'Ипотечный калькулятор'!$C$21</f>
        <v>0.29000000000000004</v>
      </c>
      <c r="C293" s="47">
        <v>281</v>
      </c>
      <c r="D293" s="48" t="e">
        <f>PPMT($B293/12,1,$C$5-C293+1,$B$5+SUM($D$13:D292),0)</f>
        <v>#NUM!</v>
      </c>
      <c r="E293" s="48">
        <f>IFERROR(-($B$5+SUM($D$13:$D292))*$B293/12,0)</f>
        <v>0</v>
      </c>
      <c r="F293" s="48" t="e">
        <f t="shared" si="16"/>
        <v>#NUM!</v>
      </c>
      <c r="G293" s="48" t="e">
        <f>($B$5+SUM($D$13:$D293))</f>
        <v>#NUM!</v>
      </c>
      <c r="K293" s="45">
        <f t="shared" si="17"/>
        <v>3.7999999999999999E-2</v>
      </c>
      <c r="L293" s="46">
        <v>281</v>
      </c>
      <c r="M293" s="5">
        <f t="shared" si="18"/>
        <v>0</v>
      </c>
      <c r="N293" s="48" t="e">
        <f>PPMT($K293/12,1,$C$5-L293+1,$B$5+SUM($N$13:N292),0)</f>
        <v>#NUM!</v>
      </c>
      <c r="O293" s="48" t="e">
        <f>-($B$5+SUM($N$13:$N292))*$K293/12</f>
        <v>#NUM!</v>
      </c>
      <c r="P293" s="48" t="e">
        <f t="shared" si="19"/>
        <v>#NUM!</v>
      </c>
      <c r="Q293" s="48" t="e">
        <f>($B$5+SUM($D$13:$D293))</f>
        <v>#NUM!</v>
      </c>
    </row>
    <row r="294" spans="2:17">
      <c r="B294" s="45">
        <f>'Ипотечный калькулятор'!$C$21</f>
        <v>0.29000000000000004</v>
      </c>
      <c r="C294" s="47">
        <v>282</v>
      </c>
      <c r="D294" s="48" t="e">
        <f>PPMT($B294/12,1,$C$5-C294+1,$B$5+SUM($D$13:D293),0)</f>
        <v>#NUM!</v>
      </c>
      <c r="E294" s="48">
        <f>IFERROR(-($B$5+SUM($D$13:$D293))*$B294/12,0)</f>
        <v>0</v>
      </c>
      <c r="F294" s="48" t="e">
        <f t="shared" si="16"/>
        <v>#NUM!</v>
      </c>
      <c r="G294" s="48" t="e">
        <f>($B$5+SUM($D$13:$D294))</f>
        <v>#NUM!</v>
      </c>
      <c r="K294" s="45">
        <f t="shared" si="17"/>
        <v>3.7999999999999999E-2</v>
      </c>
      <c r="L294" s="47">
        <v>282</v>
      </c>
      <c r="M294" s="5">
        <f t="shared" si="18"/>
        <v>0</v>
      </c>
      <c r="N294" s="48" t="e">
        <f>PPMT($K294/12,1,$C$5-L294+1,$B$5+SUM($N$13:N293),0)</f>
        <v>#NUM!</v>
      </c>
      <c r="O294" s="48" t="e">
        <f>-($B$5+SUM($N$13:$N293))*$K294/12</f>
        <v>#NUM!</v>
      </c>
      <c r="P294" s="48" t="e">
        <f t="shared" si="19"/>
        <v>#NUM!</v>
      </c>
      <c r="Q294" s="48" t="e">
        <f>($B$5+SUM($D$13:$D294))</f>
        <v>#NUM!</v>
      </c>
    </row>
    <row r="295" spans="2:17">
      <c r="B295" s="45">
        <f>'Ипотечный калькулятор'!$C$21</f>
        <v>0.29000000000000004</v>
      </c>
      <c r="C295" s="47">
        <v>283</v>
      </c>
      <c r="D295" s="48" t="e">
        <f>PPMT($B295/12,1,$C$5-C295+1,$B$5+SUM($D$13:D294),0)</f>
        <v>#NUM!</v>
      </c>
      <c r="E295" s="48">
        <f>IFERROR(-($B$5+SUM($D$13:$D294))*$B295/12,0)</f>
        <v>0</v>
      </c>
      <c r="F295" s="48" t="e">
        <f t="shared" si="16"/>
        <v>#NUM!</v>
      </c>
      <c r="G295" s="48" t="e">
        <f>($B$5+SUM($D$13:$D295))</f>
        <v>#NUM!</v>
      </c>
      <c r="K295" s="45">
        <f t="shared" si="17"/>
        <v>3.7999999999999999E-2</v>
      </c>
      <c r="L295" s="46">
        <v>283</v>
      </c>
      <c r="M295" s="5">
        <f t="shared" si="18"/>
        <v>0</v>
      </c>
      <c r="N295" s="48" t="e">
        <f>PPMT($K295/12,1,$C$5-L295+1,$B$5+SUM($N$13:N294),0)</f>
        <v>#NUM!</v>
      </c>
      <c r="O295" s="48" t="e">
        <f>-($B$5+SUM($N$13:$N294))*$K295/12</f>
        <v>#NUM!</v>
      </c>
      <c r="P295" s="48" t="e">
        <f t="shared" si="19"/>
        <v>#NUM!</v>
      </c>
      <c r="Q295" s="48" t="e">
        <f>($B$5+SUM($D$13:$D295))</f>
        <v>#NUM!</v>
      </c>
    </row>
    <row r="296" spans="2:17">
      <c r="B296" s="45">
        <f>'Ипотечный калькулятор'!$C$21</f>
        <v>0.29000000000000004</v>
      </c>
      <c r="C296" s="47">
        <v>284</v>
      </c>
      <c r="D296" s="48" t="e">
        <f>PPMT($B296/12,1,$C$5-C296+1,$B$5+SUM($D$13:D295),0)</f>
        <v>#NUM!</v>
      </c>
      <c r="E296" s="48">
        <f>IFERROR(-($B$5+SUM($D$13:$D295))*$B296/12,0)</f>
        <v>0</v>
      </c>
      <c r="F296" s="48" t="e">
        <f t="shared" si="16"/>
        <v>#NUM!</v>
      </c>
      <c r="G296" s="48" t="e">
        <f>($B$5+SUM($D$13:$D296))</f>
        <v>#NUM!</v>
      </c>
      <c r="K296" s="45">
        <f t="shared" si="17"/>
        <v>3.7999999999999999E-2</v>
      </c>
      <c r="L296" s="47">
        <v>284</v>
      </c>
      <c r="M296" s="5">
        <f t="shared" si="18"/>
        <v>0</v>
      </c>
      <c r="N296" s="48" t="e">
        <f>PPMT($K296/12,1,$C$5-L296+1,$B$5+SUM($N$13:N295),0)</f>
        <v>#NUM!</v>
      </c>
      <c r="O296" s="48" t="e">
        <f>-($B$5+SUM($N$13:$N295))*$K296/12</f>
        <v>#NUM!</v>
      </c>
      <c r="P296" s="48" t="e">
        <f t="shared" si="19"/>
        <v>#NUM!</v>
      </c>
      <c r="Q296" s="48" t="e">
        <f>($B$5+SUM($D$13:$D296))</f>
        <v>#NUM!</v>
      </c>
    </row>
    <row r="297" spans="2:17">
      <c r="B297" s="45">
        <f>'Ипотечный калькулятор'!$C$21</f>
        <v>0.29000000000000004</v>
      </c>
      <c r="C297" s="47">
        <v>285</v>
      </c>
      <c r="D297" s="48" t="e">
        <f>PPMT($B297/12,1,$C$5-C297+1,$B$5+SUM($D$13:D296),0)</f>
        <v>#NUM!</v>
      </c>
      <c r="E297" s="48">
        <f>IFERROR(-($B$5+SUM($D$13:$D296))*$B297/12,0)</f>
        <v>0</v>
      </c>
      <c r="F297" s="48" t="e">
        <f t="shared" si="16"/>
        <v>#NUM!</v>
      </c>
      <c r="G297" s="48" t="e">
        <f>($B$5+SUM($D$13:$D297))</f>
        <v>#NUM!</v>
      </c>
      <c r="K297" s="45">
        <f t="shared" si="17"/>
        <v>3.7999999999999999E-2</v>
      </c>
      <c r="L297" s="46">
        <v>285</v>
      </c>
      <c r="M297" s="5">
        <f t="shared" si="18"/>
        <v>0</v>
      </c>
      <c r="N297" s="48" t="e">
        <f>PPMT($K297/12,1,$C$5-L297+1,$B$5+SUM($N$13:N296),0)</f>
        <v>#NUM!</v>
      </c>
      <c r="O297" s="48" t="e">
        <f>-($B$5+SUM($N$13:$N296))*$K297/12</f>
        <v>#NUM!</v>
      </c>
      <c r="P297" s="48" t="e">
        <f t="shared" si="19"/>
        <v>#NUM!</v>
      </c>
      <c r="Q297" s="48" t="e">
        <f>($B$5+SUM($D$13:$D297))</f>
        <v>#NUM!</v>
      </c>
    </row>
    <row r="298" spans="2:17">
      <c r="B298" s="45">
        <f>'Ипотечный калькулятор'!$C$21</f>
        <v>0.29000000000000004</v>
      </c>
      <c r="C298" s="47">
        <v>286</v>
      </c>
      <c r="D298" s="48" t="e">
        <f>PPMT($B298/12,1,$C$5-C298+1,$B$5+SUM($D$13:D297),0)</f>
        <v>#NUM!</v>
      </c>
      <c r="E298" s="48">
        <f>IFERROR(-($B$5+SUM($D$13:$D297))*$B298/12,0)</f>
        <v>0</v>
      </c>
      <c r="F298" s="48" t="e">
        <f t="shared" si="16"/>
        <v>#NUM!</v>
      </c>
      <c r="G298" s="48" t="e">
        <f>($B$5+SUM($D$13:$D298))</f>
        <v>#NUM!</v>
      </c>
      <c r="K298" s="45">
        <f t="shared" si="17"/>
        <v>3.7999999999999999E-2</v>
      </c>
      <c r="L298" s="47">
        <v>286</v>
      </c>
      <c r="M298" s="5">
        <f t="shared" si="18"/>
        <v>0</v>
      </c>
      <c r="N298" s="48" t="e">
        <f>PPMT($K298/12,1,$C$5-L298+1,$B$5+SUM($N$13:N297),0)</f>
        <v>#NUM!</v>
      </c>
      <c r="O298" s="48" t="e">
        <f>-($B$5+SUM($N$13:$N297))*$K298/12</f>
        <v>#NUM!</v>
      </c>
      <c r="P298" s="48" t="e">
        <f t="shared" si="19"/>
        <v>#NUM!</v>
      </c>
      <c r="Q298" s="48" t="e">
        <f>($B$5+SUM($D$13:$D298))</f>
        <v>#NUM!</v>
      </c>
    </row>
    <row r="299" spans="2:17">
      <c r="B299" s="45">
        <f>'Ипотечный калькулятор'!$C$21</f>
        <v>0.29000000000000004</v>
      </c>
      <c r="C299" s="47">
        <v>287</v>
      </c>
      <c r="D299" s="48" t="e">
        <f>PPMT($B299/12,1,$C$5-C299+1,$B$5+SUM($D$13:D298),0)</f>
        <v>#NUM!</v>
      </c>
      <c r="E299" s="48">
        <f>IFERROR(-($B$5+SUM($D$13:$D298))*$B299/12,0)</f>
        <v>0</v>
      </c>
      <c r="F299" s="48" t="e">
        <f t="shared" si="16"/>
        <v>#NUM!</v>
      </c>
      <c r="G299" s="48" t="e">
        <f>($B$5+SUM($D$13:$D299))</f>
        <v>#NUM!</v>
      </c>
      <c r="K299" s="45">
        <f t="shared" si="17"/>
        <v>3.7999999999999999E-2</v>
      </c>
      <c r="L299" s="46">
        <v>287</v>
      </c>
      <c r="M299" s="5">
        <f t="shared" si="18"/>
        <v>0</v>
      </c>
      <c r="N299" s="48" t="e">
        <f>PPMT($K299/12,1,$C$5-L299+1,$B$5+SUM($N$13:N298),0)</f>
        <v>#NUM!</v>
      </c>
      <c r="O299" s="48" t="e">
        <f>-($B$5+SUM($N$13:$N298))*$K299/12</f>
        <v>#NUM!</v>
      </c>
      <c r="P299" s="48" t="e">
        <f t="shared" si="19"/>
        <v>#NUM!</v>
      </c>
      <c r="Q299" s="48" t="e">
        <f>($B$5+SUM($D$13:$D299))</f>
        <v>#NUM!</v>
      </c>
    </row>
    <row r="300" spans="2:17">
      <c r="B300" s="45">
        <f>'Ипотечный калькулятор'!$C$21</f>
        <v>0.29000000000000004</v>
      </c>
      <c r="C300" s="47">
        <v>288</v>
      </c>
      <c r="D300" s="48" t="e">
        <f>PPMT($B300/12,1,$C$5-C300+1,$B$5+SUM($D$13:D299),0)</f>
        <v>#NUM!</v>
      </c>
      <c r="E300" s="48">
        <f>IFERROR(-($B$5+SUM($D$13:$D299))*$B300/12,0)</f>
        <v>0</v>
      </c>
      <c r="F300" s="48" t="e">
        <f t="shared" si="16"/>
        <v>#NUM!</v>
      </c>
      <c r="G300" s="48" t="e">
        <f>($B$5+SUM($D$13:$D300))</f>
        <v>#NUM!</v>
      </c>
      <c r="K300" s="45">
        <f t="shared" si="17"/>
        <v>3.7999999999999999E-2</v>
      </c>
      <c r="L300" s="47">
        <v>288</v>
      </c>
      <c r="M300" s="5">
        <f t="shared" si="18"/>
        <v>0</v>
      </c>
      <c r="N300" s="48" t="e">
        <f>PPMT($K300/12,1,$C$5-L300+1,$B$5+SUM($N$13:N299),0)</f>
        <v>#NUM!</v>
      </c>
      <c r="O300" s="48" t="e">
        <f>-($B$5+SUM($N$13:$N299))*$K300/12</f>
        <v>#NUM!</v>
      </c>
      <c r="P300" s="48" t="e">
        <f t="shared" si="19"/>
        <v>#NUM!</v>
      </c>
      <c r="Q300" s="48" t="e">
        <f>($B$5+SUM($D$13:$D300))</f>
        <v>#NUM!</v>
      </c>
    </row>
    <row r="301" spans="2:17">
      <c r="B301" s="45">
        <f>'Ипотечный калькулятор'!$C$21</f>
        <v>0.29000000000000004</v>
      </c>
      <c r="C301" s="47">
        <v>289</v>
      </c>
      <c r="D301" s="48" t="e">
        <f>PPMT($B301/12,1,$C$5-C301+1,$B$5+SUM($D$13:D300),0)</f>
        <v>#NUM!</v>
      </c>
      <c r="E301" s="48">
        <f>IFERROR(-($B$5+SUM($D$13:$D300))*$B301/12,0)</f>
        <v>0</v>
      </c>
      <c r="F301" s="48" t="e">
        <f t="shared" si="16"/>
        <v>#NUM!</v>
      </c>
      <c r="G301" s="48" t="e">
        <f>($B$5+SUM($D$13:$D301))</f>
        <v>#NUM!</v>
      </c>
      <c r="K301" s="45">
        <f t="shared" si="17"/>
        <v>3.7999999999999999E-2</v>
      </c>
      <c r="L301" s="46">
        <v>289</v>
      </c>
      <c r="M301" s="5">
        <f t="shared" si="18"/>
        <v>0</v>
      </c>
      <c r="N301" s="48" t="e">
        <f>PPMT($K301/12,1,$C$5-L301+1,$B$5+SUM($N$13:N300),0)</f>
        <v>#NUM!</v>
      </c>
      <c r="O301" s="48" t="e">
        <f>-($B$5+SUM($N$13:$N300))*$K301/12</f>
        <v>#NUM!</v>
      </c>
      <c r="P301" s="48" t="e">
        <f t="shared" si="19"/>
        <v>#NUM!</v>
      </c>
      <c r="Q301" s="48" t="e">
        <f>($B$5+SUM($D$13:$D301))</f>
        <v>#NUM!</v>
      </c>
    </row>
    <row r="302" spans="2:17">
      <c r="B302" s="45">
        <f>'Ипотечный калькулятор'!$C$21</f>
        <v>0.29000000000000004</v>
      </c>
      <c r="C302" s="47">
        <v>290</v>
      </c>
      <c r="D302" s="48" t="e">
        <f>PPMT($B302/12,1,$C$5-C302+1,$B$5+SUM($D$13:D301),0)</f>
        <v>#NUM!</v>
      </c>
      <c r="E302" s="48">
        <f>IFERROR(-($B$5+SUM($D$13:$D301))*$B302/12,0)</f>
        <v>0</v>
      </c>
      <c r="F302" s="48" t="e">
        <f t="shared" si="16"/>
        <v>#NUM!</v>
      </c>
      <c r="G302" s="48" t="e">
        <f>($B$5+SUM($D$13:$D302))</f>
        <v>#NUM!</v>
      </c>
      <c r="K302" s="45">
        <f t="shared" si="17"/>
        <v>3.7999999999999999E-2</v>
      </c>
      <c r="L302" s="47">
        <v>290</v>
      </c>
      <c r="M302" s="5">
        <f t="shared" si="18"/>
        <v>0</v>
      </c>
      <c r="N302" s="48" t="e">
        <f>PPMT($K302/12,1,$C$5-L302+1,$B$5+SUM($N$13:N301),0)</f>
        <v>#NUM!</v>
      </c>
      <c r="O302" s="48" t="e">
        <f>-($B$5+SUM($N$13:$N301))*$K302/12</f>
        <v>#NUM!</v>
      </c>
      <c r="P302" s="48" t="e">
        <f t="shared" si="19"/>
        <v>#NUM!</v>
      </c>
      <c r="Q302" s="48" t="e">
        <f>($B$5+SUM($D$13:$D302))</f>
        <v>#NUM!</v>
      </c>
    </row>
    <row r="303" spans="2:17">
      <c r="B303" s="45">
        <f>'Ипотечный калькулятор'!$C$21</f>
        <v>0.29000000000000004</v>
      </c>
      <c r="C303" s="47">
        <v>291</v>
      </c>
      <c r="D303" s="48" t="e">
        <f>PPMT($B303/12,1,$C$5-C303+1,$B$5+SUM($D$13:D302),0)</f>
        <v>#NUM!</v>
      </c>
      <c r="E303" s="48">
        <f>IFERROR(-($B$5+SUM($D$13:$D302))*$B303/12,0)</f>
        <v>0</v>
      </c>
      <c r="F303" s="48" t="e">
        <f t="shared" si="16"/>
        <v>#NUM!</v>
      </c>
      <c r="G303" s="48" t="e">
        <f>($B$5+SUM($D$13:$D303))</f>
        <v>#NUM!</v>
      </c>
      <c r="K303" s="45">
        <f t="shared" si="17"/>
        <v>3.7999999999999999E-2</v>
      </c>
      <c r="L303" s="46">
        <v>291</v>
      </c>
      <c r="M303" s="5">
        <f t="shared" si="18"/>
        <v>0</v>
      </c>
      <c r="N303" s="48" t="e">
        <f>PPMT($K303/12,1,$C$5-L303+1,$B$5+SUM($N$13:N302),0)</f>
        <v>#NUM!</v>
      </c>
      <c r="O303" s="48" t="e">
        <f>-($B$5+SUM($N$13:$N302))*$K303/12</f>
        <v>#NUM!</v>
      </c>
      <c r="P303" s="48" t="e">
        <f t="shared" si="19"/>
        <v>#NUM!</v>
      </c>
      <c r="Q303" s="48" t="e">
        <f>($B$5+SUM($D$13:$D303))</f>
        <v>#NUM!</v>
      </c>
    </row>
    <row r="304" spans="2:17">
      <c r="B304" s="45">
        <f>'Ипотечный калькулятор'!$C$21</f>
        <v>0.29000000000000004</v>
      </c>
      <c r="C304" s="47">
        <v>292</v>
      </c>
      <c r="D304" s="48" t="e">
        <f>PPMT($B304/12,1,$C$5-C304+1,$B$5+SUM($D$13:D303),0)</f>
        <v>#NUM!</v>
      </c>
      <c r="E304" s="48">
        <f>IFERROR(-($B$5+SUM($D$13:$D303))*$B304/12,0)</f>
        <v>0</v>
      </c>
      <c r="F304" s="48" t="e">
        <f t="shared" si="16"/>
        <v>#NUM!</v>
      </c>
      <c r="G304" s="48" t="e">
        <f>($B$5+SUM($D$13:$D304))</f>
        <v>#NUM!</v>
      </c>
      <c r="K304" s="45">
        <f t="shared" si="17"/>
        <v>3.7999999999999999E-2</v>
      </c>
      <c r="L304" s="47">
        <v>292</v>
      </c>
      <c r="M304" s="5">
        <f t="shared" si="18"/>
        <v>0</v>
      </c>
      <c r="N304" s="48" t="e">
        <f>PPMT($K304/12,1,$C$5-L304+1,$B$5+SUM($N$13:N303),0)</f>
        <v>#NUM!</v>
      </c>
      <c r="O304" s="48" t="e">
        <f>-($B$5+SUM($N$13:$N303))*$K304/12</f>
        <v>#NUM!</v>
      </c>
      <c r="P304" s="48" t="e">
        <f t="shared" si="19"/>
        <v>#NUM!</v>
      </c>
      <c r="Q304" s="48" t="e">
        <f>($B$5+SUM($D$13:$D304))</f>
        <v>#NUM!</v>
      </c>
    </row>
    <row r="305" spans="2:17">
      <c r="B305" s="45">
        <f>'Ипотечный калькулятор'!$C$21</f>
        <v>0.29000000000000004</v>
      </c>
      <c r="C305" s="47">
        <v>293</v>
      </c>
      <c r="D305" s="48" t="e">
        <f>PPMT($B305/12,1,$C$5-C305+1,$B$5+SUM($D$13:D304),0)</f>
        <v>#NUM!</v>
      </c>
      <c r="E305" s="48">
        <f>IFERROR(-($B$5+SUM($D$13:$D304))*$B305/12,0)</f>
        <v>0</v>
      </c>
      <c r="F305" s="48" t="e">
        <f t="shared" si="16"/>
        <v>#NUM!</v>
      </c>
      <c r="G305" s="48" t="e">
        <f>($B$5+SUM($D$13:$D305))</f>
        <v>#NUM!</v>
      </c>
      <c r="K305" s="45">
        <f t="shared" si="17"/>
        <v>3.7999999999999999E-2</v>
      </c>
      <c r="L305" s="46">
        <v>293</v>
      </c>
      <c r="M305" s="5">
        <f t="shared" si="18"/>
        <v>0</v>
      </c>
      <c r="N305" s="48" t="e">
        <f>PPMT($K305/12,1,$C$5-L305+1,$B$5+SUM($N$13:N304),0)</f>
        <v>#NUM!</v>
      </c>
      <c r="O305" s="48" t="e">
        <f>-($B$5+SUM($N$13:$N304))*$K305/12</f>
        <v>#NUM!</v>
      </c>
      <c r="P305" s="48" t="e">
        <f t="shared" si="19"/>
        <v>#NUM!</v>
      </c>
      <c r="Q305" s="48" t="e">
        <f>($B$5+SUM($D$13:$D305))</f>
        <v>#NUM!</v>
      </c>
    </row>
    <row r="306" spans="2:17">
      <c r="B306" s="45">
        <f>'Ипотечный калькулятор'!$C$21</f>
        <v>0.29000000000000004</v>
      </c>
      <c r="C306" s="47">
        <v>294</v>
      </c>
      <c r="D306" s="48" t="e">
        <f>PPMT($B306/12,1,$C$5-C306+1,$B$5+SUM($D$13:D305),0)</f>
        <v>#NUM!</v>
      </c>
      <c r="E306" s="48">
        <f>IFERROR(-($B$5+SUM($D$13:$D305))*$B306/12,0)</f>
        <v>0</v>
      </c>
      <c r="F306" s="48" t="e">
        <f t="shared" si="16"/>
        <v>#NUM!</v>
      </c>
      <c r="G306" s="48" t="e">
        <f>($B$5+SUM($D$13:$D306))</f>
        <v>#NUM!</v>
      </c>
      <c r="K306" s="45">
        <f t="shared" si="17"/>
        <v>3.7999999999999999E-2</v>
      </c>
      <c r="L306" s="47">
        <v>294</v>
      </c>
      <c r="M306" s="5">
        <f t="shared" si="18"/>
        <v>0</v>
      </c>
      <c r="N306" s="48" t="e">
        <f>PPMT($K306/12,1,$C$5-L306+1,$B$5+SUM($N$13:N305),0)</f>
        <v>#NUM!</v>
      </c>
      <c r="O306" s="48" t="e">
        <f>-($B$5+SUM($N$13:$N305))*$K306/12</f>
        <v>#NUM!</v>
      </c>
      <c r="P306" s="48" t="e">
        <f t="shared" si="19"/>
        <v>#NUM!</v>
      </c>
      <c r="Q306" s="48" t="e">
        <f>($B$5+SUM($D$13:$D306))</f>
        <v>#NUM!</v>
      </c>
    </row>
    <row r="307" spans="2:17">
      <c r="B307" s="45">
        <f>'Ипотечный калькулятор'!$C$21</f>
        <v>0.29000000000000004</v>
      </c>
      <c r="C307" s="47">
        <v>295</v>
      </c>
      <c r="D307" s="48" t="e">
        <f>PPMT($B307/12,1,$C$5-C307+1,$B$5+SUM($D$13:D306),0)</f>
        <v>#NUM!</v>
      </c>
      <c r="E307" s="48">
        <f>IFERROR(-($B$5+SUM($D$13:$D306))*$B307/12,0)</f>
        <v>0</v>
      </c>
      <c r="F307" s="48" t="e">
        <f t="shared" si="16"/>
        <v>#NUM!</v>
      </c>
      <c r="G307" s="48" t="e">
        <f>($B$5+SUM($D$13:$D307))</f>
        <v>#NUM!</v>
      </c>
      <c r="K307" s="45">
        <f t="shared" si="17"/>
        <v>3.7999999999999999E-2</v>
      </c>
      <c r="L307" s="46">
        <v>295</v>
      </c>
      <c r="M307" s="5">
        <f t="shared" si="18"/>
        <v>0</v>
      </c>
      <c r="N307" s="48" t="e">
        <f>PPMT($K307/12,1,$C$5-L307+1,$B$5+SUM($N$13:N306),0)</f>
        <v>#NUM!</v>
      </c>
      <c r="O307" s="48" t="e">
        <f>-($B$5+SUM($N$13:$N306))*$K307/12</f>
        <v>#NUM!</v>
      </c>
      <c r="P307" s="48" t="e">
        <f t="shared" si="19"/>
        <v>#NUM!</v>
      </c>
      <c r="Q307" s="48" t="e">
        <f>($B$5+SUM($D$13:$D307))</f>
        <v>#NUM!</v>
      </c>
    </row>
    <row r="308" spans="2:17">
      <c r="B308" s="45">
        <f>'Ипотечный калькулятор'!$C$21</f>
        <v>0.29000000000000004</v>
      </c>
      <c r="C308" s="47">
        <v>296</v>
      </c>
      <c r="D308" s="48" t="e">
        <f>PPMT($B308/12,1,$C$5-C308+1,$B$5+SUM($D$13:D307),0)</f>
        <v>#NUM!</v>
      </c>
      <c r="E308" s="48">
        <f>IFERROR(-($B$5+SUM($D$13:$D307))*$B308/12,0)</f>
        <v>0</v>
      </c>
      <c r="F308" s="48" t="e">
        <f t="shared" si="16"/>
        <v>#NUM!</v>
      </c>
      <c r="G308" s="48" t="e">
        <f>($B$5+SUM($D$13:$D308))</f>
        <v>#NUM!</v>
      </c>
      <c r="K308" s="45">
        <f t="shared" si="17"/>
        <v>3.7999999999999999E-2</v>
      </c>
      <c r="L308" s="47">
        <v>296</v>
      </c>
      <c r="M308" s="5">
        <f t="shared" si="18"/>
        <v>0</v>
      </c>
      <c r="N308" s="48" t="e">
        <f>PPMT($K308/12,1,$C$5-L308+1,$B$5+SUM($N$13:N307),0)</f>
        <v>#NUM!</v>
      </c>
      <c r="O308" s="48" t="e">
        <f>-($B$5+SUM($N$13:$N307))*$K308/12</f>
        <v>#NUM!</v>
      </c>
      <c r="P308" s="48" t="e">
        <f t="shared" si="19"/>
        <v>#NUM!</v>
      </c>
      <c r="Q308" s="48" t="e">
        <f>($B$5+SUM($D$13:$D308))</f>
        <v>#NUM!</v>
      </c>
    </row>
    <row r="309" spans="2:17">
      <c r="B309" s="45">
        <f>'Ипотечный калькулятор'!$C$21</f>
        <v>0.29000000000000004</v>
      </c>
      <c r="C309" s="47">
        <v>297</v>
      </c>
      <c r="D309" s="48" t="e">
        <f>PPMT($B309/12,1,$C$5-C309+1,$B$5+SUM($D$13:D308),0)</f>
        <v>#NUM!</v>
      </c>
      <c r="E309" s="48">
        <f>IFERROR(-($B$5+SUM($D$13:$D308))*$B309/12,0)</f>
        <v>0</v>
      </c>
      <c r="F309" s="48" t="e">
        <f t="shared" si="16"/>
        <v>#NUM!</v>
      </c>
      <c r="G309" s="48" t="e">
        <f>($B$5+SUM($D$13:$D309))</f>
        <v>#NUM!</v>
      </c>
      <c r="K309" s="45">
        <f t="shared" si="17"/>
        <v>3.7999999999999999E-2</v>
      </c>
      <c r="L309" s="46">
        <v>297</v>
      </c>
      <c r="M309" s="5">
        <f t="shared" si="18"/>
        <v>0</v>
      </c>
      <c r="N309" s="48" t="e">
        <f>PPMT($K309/12,1,$C$5-L309+1,$B$5+SUM($N$13:N308),0)</f>
        <v>#NUM!</v>
      </c>
      <c r="O309" s="48" t="e">
        <f>-($B$5+SUM($N$13:$N308))*$K309/12</f>
        <v>#NUM!</v>
      </c>
      <c r="P309" s="48" t="e">
        <f t="shared" si="19"/>
        <v>#NUM!</v>
      </c>
      <c r="Q309" s="48" t="e">
        <f>($B$5+SUM($D$13:$D309))</f>
        <v>#NUM!</v>
      </c>
    </row>
    <row r="310" spans="2:17">
      <c r="B310" s="45">
        <f>'Ипотечный калькулятор'!$C$21</f>
        <v>0.29000000000000004</v>
      </c>
      <c r="C310" s="47">
        <v>298</v>
      </c>
      <c r="D310" s="48" t="e">
        <f>PPMT($B310/12,1,$C$5-C310+1,$B$5+SUM($D$13:D309),0)</f>
        <v>#NUM!</v>
      </c>
      <c r="E310" s="48">
        <f>IFERROR(-($B$5+SUM($D$13:$D309))*$B310/12,0)</f>
        <v>0</v>
      </c>
      <c r="F310" s="48" t="e">
        <f t="shared" si="16"/>
        <v>#NUM!</v>
      </c>
      <c r="G310" s="48" t="e">
        <f>($B$5+SUM($D$13:$D310))</f>
        <v>#NUM!</v>
      </c>
      <c r="K310" s="45">
        <f t="shared" si="17"/>
        <v>3.7999999999999999E-2</v>
      </c>
      <c r="L310" s="47">
        <v>298</v>
      </c>
      <c r="M310" s="5">
        <f t="shared" si="18"/>
        <v>0</v>
      </c>
      <c r="N310" s="48" t="e">
        <f>PPMT($K310/12,1,$C$5-L310+1,$B$5+SUM($N$13:N309),0)</f>
        <v>#NUM!</v>
      </c>
      <c r="O310" s="48" t="e">
        <f>-($B$5+SUM($N$13:$N309))*$K310/12</f>
        <v>#NUM!</v>
      </c>
      <c r="P310" s="48" t="e">
        <f t="shared" si="19"/>
        <v>#NUM!</v>
      </c>
      <c r="Q310" s="48" t="e">
        <f>($B$5+SUM($D$13:$D310))</f>
        <v>#NUM!</v>
      </c>
    </row>
    <row r="311" spans="2:17">
      <c r="B311" s="45">
        <f>'Ипотечный калькулятор'!$C$21</f>
        <v>0.29000000000000004</v>
      </c>
      <c r="C311" s="47">
        <v>299</v>
      </c>
      <c r="D311" s="48" t="e">
        <f>PPMT($B311/12,1,$C$5-C311+1,$B$5+SUM($D$13:D310),0)</f>
        <v>#NUM!</v>
      </c>
      <c r="E311" s="48">
        <f>IFERROR(-($B$5+SUM($D$13:$D310))*$B311/12,0)</f>
        <v>0</v>
      </c>
      <c r="F311" s="48" t="e">
        <f t="shared" si="16"/>
        <v>#NUM!</v>
      </c>
      <c r="G311" s="48" t="e">
        <f>($B$5+SUM($D$13:$D311))</f>
        <v>#NUM!</v>
      </c>
      <c r="K311" s="45">
        <f t="shared" si="17"/>
        <v>3.7999999999999999E-2</v>
      </c>
      <c r="L311" s="46">
        <v>299</v>
      </c>
      <c r="M311" s="5">
        <f t="shared" si="18"/>
        <v>0</v>
      </c>
      <c r="N311" s="48" t="e">
        <f>PPMT($K311/12,1,$C$5-L311+1,$B$5+SUM($N$13:N310),0)</f>
        <v>#NUM!</v>
      </c>
      <c r="O311" s="48" t="e">
        <f>-($B$5+SUM($N$13:$N310))*$K311/12</f>
        <v>#NUM!</v>
      </c>
      <c r="P311" s="48" t="e">
        <f t="shared" si="19"/>
        <v>#NUM!</v>
      </c>
      <c r="Q311" s="48" t="e">
        <f>($B$5+SUM($D$13:$D311))</f>
        <v>#NUM!</v>
      </c>
    </row>
    <row r="312" spans="2:17">
      <c r="B312" s="45">
        <f>'Ипотечный калькулятор'!$C$21</f>
        <v>0.29000000000000004</v>
      </c>
      <c r="C312" s="47">
        <v>300</v>
      </c>
      <c r="D312" s="48" t="e">
        <f>PPMT($B312/12,1,$C$5-C312+1,$B$5+SUM($D$13:D311),0)</f>
        <v>#NUM!</v>
      </c>
      <c r="E312" s="48">
        <f>IFERROR(-($B$5+SUM($D$13:$D311))*$B312/12,0)</f>
        <v>0</v>
      </c>
      <c r="F312" s="48" t="e">
        <f t="shared" si="16"/>
        <v>#NUM!</v>
      </c>
      <c r="G312" s="48" t="e">
        <f>($B$5+SUM($D$13:$D312))</f>
        <v>#NUM!</v>
      </c>
      <c r="K312" s="45">
        <f t="shared" si="17"/>
        <v>3.7999999999999999E-2</v>
      </c>
      <c r="L312" s="47">
        <v>300</v>
      </c>
      <c r="M312" s="5">
        <f t="shared" si="18"/>
        <v>0</v>
      </c>
      <c r="N312" s="48" t="e">
        <f>PPMT($K312/12,1,$C$5-L312+1,$B$5+SUM($N$13:N311),0)</f>
        <v>#NUM!</v>
      </c>
      <c r="O312" s="48" t="e">
        <f>-($B$5+SUM($N$13:$N311))*$K312/12</f>
        <v>#NUM!</v>
      </c>
      <c r="P312" s="48" t="e">
        <f t="shared" si="19"/>
        <v>#NUM!</v>
      </c>
      <c r="Q312" s="48" t="e">
        <f>($B$5+SUM($D$13:$D312))</f>
        <v>#NUM!</v>
      </c>
    </row>
    <row r="313" spans="2:17">
      <c r="B313" s="45">
        <f>'Ипотечный калькулятор'!$C$21</f>
        <v>0.29000000000000004</v>
      </c>
      <c r="C313" s="47">
        <v>301</v>
      </c>
      <c r="D313" s="48" t="e">
        <f>PPMT($B313/12,1,$C$5-C313+1,$B$5+SUM($D$13:D312),0)</f>
        <v>#NUM!</v>
      </c>
      <c r="E313" s="48">
        <f>IFERROR(-($B$5+SUM($D$13:$D312))*$B313/12,0)</f>
        <v>0</v>
      </c>
      <c r="F313" s="48" t="e">
        <f t="shared" si="16"/>
        <v>#NUM!</v>
      </c>
      <c r="G313" s="48" t="e">
        <f>($B$5+SUM($D$13:$D313))</f>
        <v>#NUM!</v>
      </c>
      <c r="K313" s="45">
        <f t="shared" si="17"/>
        <v>3.7999999999999999E-2</v>
      </c>
      <c r="L313" s="46">
        <v>301</v>
      </c>
      <c r="M313" s="5">
        <f t="shared" si="18"/>
        <v>0</v>
      </c>
      <c r="N313" s="48" t="e">
        <f>PPMT($K313/12,1,$C$5-L313+1,$B$5+SUM($N$13:N312),0)</f>
        <v>#NUM!</v>
      </c>
      <c r="O313" s="48" t="e">
        <f>-($B$5+SUM($N$13:$N312))*$K313/12</f>
        <v>#NUM!</v>
      </c>
      <c r="P313" s="48" t="e">
        <f t="shared" si="19"/>
        <v>#NUM!</v>
      </c>
      <c r="Q313" s="48" t="e">
        <f>($B$5+SUM($D$13:$D313))</f>
        <v>#NUM!</v>
      </c>
    </row>
    <row r="314" spans="2:17">
      <c r="B314" s="45">
        <f>'Ипотечный калькулятор'!$C$21</f>
        <v>0.29000000000000004</v>
      </c>
      <c r="C314" s="47">
        <v>302</v>
      </c>
      <c r="D314" s="48" t="e">
        <f>PPMT($B314/12,1,$C$5-C314+1,$B$5+SUM($D$13:D313),0)</f>
        <v>#NUM!</v>
      </c>
      <c r="E314" s="48">
        <f>IFERROR(-($B$5+SUM($D$13:$D313))*$B314/12,0)</f>
        <v>0</v>
      </c>
      <c r="F314" s="48" t="e">
        <f t="shared" si="16"/>
        <v>#NUM!</v>
      </c>
      <c r="G314" s="48" t="e">
        <f>($B$5+SUM($D$13:$D314))</f>
        <v>#NUM!</v>
      </c>
      <c r="K314" s="45">
        <f t="shared" si="17"/>
        <v>3.7999999999999999E-2</v>
      </c>
      <c r="L314" s="47">
        <v>302</v>
      </c>
      <c r="M314" s="5">
        <f t="shared" si="18"/>
        <v>0</v>
      </c>
      <c r="N314" s="48" t="e">
        <f>PPMT($K314/12,1,$C$5-L314+1,$B$5+SUM($N$13:N313),0)</f>
        <v>#NUM!</v>
      </c>
      <c r="O314" s="48" t="e">
        <f>-($B$5+SUM($N$13:$N313))*$K314/12</f>
        <v>#NUM!</v>
      </c>
      <c r="P314" s="48" t="e">
        <f t="shared" si="19"/>
        <v>#NUM!</v>
      </c>
      <c r="Q314" s="48" t="e">
        <f>($B$5+SUM($D$13:$D314))</f>
        <v>#NUM!</v>
      </c>
    </row>
    <row r="315" spans="2:17">
      <c r="B315" s="45">
        <f>'Ипотечный калькулятор'!$C$21</f>
        <v>0.29000000000000004</v>
      </c>
      <c r="C315" s="47">
        <v>303</v>
      </c>
      <c r="D315" s="48" t="e">
        <f>PPMT($B315/12,1,$C$5-C315+1,$B$5+SUM($D$13:D314),0)</f>
        <v>#NUM!</v>
      </c>
      <c r="E315" s="48">
        <f>IFERROR(-($B$5+SUM($D$13:$D314))*$B315/12,0)</f>
        <v>0</v>
      </c>
      <c r="F315" s="48" t="e">
        <f t="shared" si="16"/>
        <v>#NUM!</v>
      </c>
      <c r="G315" s="48" t="e">
        <f>($B$5+SUM($D$13:$D315))</f>
        <v>#NUM!</v>
      </c>
      <c r="K315" s="45">
        <f t="shared" si="17"/>
        <v>3.7999999999999999E-2</v>
      </c>
      <c r="L315" s="46">
        <v>303</v>
      </c>
      <c r="M315" s="5">
        <f t="shared" si="18"/>
        <v>0</v>
      </c>
      <c r="N315" s="48" t="e">
        <f>PPMT($K315/12,1,$C$5-L315+1,$B$5+SUM($N$13:N314),0)</f>
        <v>#NUM!</v>
      </c>
      <c r="O315" s="48" t="e">
        <f>-($B$5+SUM($N$13:$N314))*$K315/12</f>
        <v>#NUM!</v>
      </c>
      <c r="P315" s="48" t="e">
        <f t="shared" si="19"/>
        <v>#NUM!</v>
      </c>
      <c r="Q315" s="48" t="e">
        <f>($B$5+SUM($D$13:$D315))</f>
        <v>#NUM!</v>
      </c>
    </row>
    <row r="316" spans="2:17">
      <c r="B316" s="45">
        <f>'Ипотечный калькулятор'!$C$21</f>
        <v>0.29000000000000004</v>
      </c>
      <c r="C316" s="47">
        <v>304</v>
      </c>
      <c r="D316" s="48" t="e">
        <f>PPMT($B316/12,1,$C$5-C316+1,$B$5+SUM($D$13:D315),0)</f>
        <v>#NUM!</v>
      </c>
      <c r="E316" s="48">
        <f>IFERROR(-($B$5+SUM($D$13:$D315))*$B316/12,0)</f>
        <v>0</v>
      </c>
      <c r="F316" s="48" t="e">
        <f t="shared" si="16"/>
        <v>#NUM!</v>
      </c>
      <c r="G316" s="48" t="e">
        <f>($B$5+SUM($D$13:$D316))</f>
        <v>#NUM!</v>
      </c>
      <c r="K316" s="45">
        <f t="shared" si="17"/>
        <v>3.7999999999999999E-2</v>
      </c>
      <c r="L316" s="47">
        <v>304</v>
      </c>
      <c r="M316" s="5">
        <f t="shared" si="18"/>
        <v>0</v>
      </c>
      <c r="N316" s="48" t="e">
        <f>PPMT($K316/12,1,$C$5-L316+1,$B$5+SUM($N$13:N315),0)</f>
        <v>#NUM!</v>
      </c>
      <c r="O316" s="48" t="e">
        <f>-($B$5+SUM($N$13:$N315))*$K316/12</f>
        <v>#NUM!</v>
      </c>
      <c r="P316" s="48" t="e">
        <f t="shared" si="19"/>
        <v>#NUM!</v>
      </c>
      <c r="Q316" s="48" t="e">
        <f>($B$5+SUM($D$13:$D316))</f>
        <v>#NUM!</v>
      </c>
    </row>
    <row r="317" spans="2:17">
      <c r="B317" s="45">
        <f>'Ипотечный калькулятор'!$C$21</f>
        <v>0.29000000000000004</v>
      </c>
      <c r="C317" s="47">
        <v>305</v>
      </c>
      <c r="D317" s="48" t="e">
        <f>PPMT($B317/12,1,$C$5-C317+1,$B$5+SUM($D$13:D316),0)</f>
        <v>#NUM!</v>
      </c>
      <c r="E317" s="48">
        <f>IFERROR(-($B$5+SUM($D$13:$D316))*$B317/12,0)</f>
        <v>0</v>
      </c>
      <c r="F317" s="48" t="e">
        <f t="shared" si="16"/>
        <v>#NUM!</v>
      </c>
      <c r="G317" s="48" t="e">
        <f>($B$5+SUM($D$13:$D317))</f>
        <v>#NUM!</v>
      </c>
      <c r="K317" s="45">
        <f t="shared" si="17"/>
        <v>3.7999999999999999E-2</v>
      </c>
      <c r="L317" s="46">
        <v>305</v>
      </c>
      <c r="M317" s="5">
        <f t="shared" si="18"/>
        <v>0</v>
      </c>
      <c r="N317" s="48" t="e">
        <f>PPMT($K317/12,1,$C$5-L317+1,$B$5+SUM($N$13:N316),0)</f>
        <v>#NUM!</v>
      </c>
      <c r="O317" s="48" t="e">
        <f>-($B$5+SUM($N$13:$N316))*$K317/12</f>
        <v>#NUM!</v>
      </c>
      <c r="P317" s="48" t="e">
        <f t="shared" si="19"/>
        <v>#NUM!</v>
      </c>
      <c r="Q317" s="48" t="e">
        <f>($B$5+SUM($D$13:$D317))</f>
        <v>#NUM!</v>
      </c>
    </row>
    <row r="318" spans="2:17">
      <c r="B318" s="45">
        <f>'Ипотечный калькулятор'!$C$21</f>
        <v>0.29000000000000004</v>
      </c>
      <c r="C318" s="47">
        <v>306</v>
      </c>
      <c r="D318" s="48" t="e">
        <f>PPMT($B318/12,1,$C$5-C318+1,$B$5+SUM($D$13:D317),0)</f>
        <v>#NUM!</v>
      </c>
      <c r="E318" s="48">
        <f>IFERROR(-($B$5+SUM($D$13:$D317))*$B318/12,0)</f>
        <v>0</v>
      </c>
      <c r="F318" s="48" t="e">
        <f t="shared" si="16"/>
        <v>#NUM!</v>
      </c>
      <c r="G318" s="48" t="e">
        <f>($B$5+SUM($D$13:$D318))</f>
        <v>#NUM!</v>
      </c>
      <c r="K318" s="45">
        <f t="shared" si="17"/>
        <v>3.7999999999999999E-2</v>
      </c>
      <c r="L318" s="47">
        <v>306</v>
      </c>
      <c r="M318" s="5">
        <f t="shared" si="18"/>
        <v>0</v>
      </c>
      <c r="N318" s="48" t="e">
        <f>PPMT($K318/12,1,$C$5-L318+1,$B$5+SUM($N$13:N317),0)</f>
        <v>#NUM!</v>
      </c>
      <c r="O318" s="48" t="e">
        <f>-($B$5+SUM($N$13:$N317))*$K318/12</f>
        <v>#NUM!</v>
      </c>
      <c r="P318" s="48" t="e">
        <f t="shared" si="19"/>
        <v>#NUM!</v>
      </c>
      <c r="Q318" s="48" t="e">
        <f>($B$5+SUM($D$13:$D318))</f>
        <v>#NUM!</v>
      </c>
    </row>
    <row r="319" spans="2:17">
      <c r="B319" s="45">
        <f>'Ипотечный калькулятор'!$C$21</f>
        <v>0.29000000000000004</v>
      </c>
      <c r="C319" s="47">
        <v>307</v>
      </c>
      <c r="D319" s="48" t="e">
        <f>PPMT($B319/12,1,$C$5-C319+1,$B$5+SUM($D$13:D318),0)</f>
        <v>#NUM!</v>
      </c>
      <c r="E319" s="48">
        <f>IFERROR(-($B$5+SUM($D$13:$D318))*$B319/12,0)</f>
        <v>0</v>
      </c>
      <c r="F319" s="48" t="e">
        <f t="shared" si="16"/>
        <v>#NUM!</v>
      </c>
      <c r="G319" s="48" t="e">
        <f>($B$5+SUM($D$13:$D319))</f>
        <v>#NUM!</v>
      </c>
      <c r="K319" s="45">
        <f t="shared" si="17"/>
        <v>3.7999999999999999E-2</v>
      </c>
      <c r="L319" s="46">
        <v>307</v>
      </c>
      <c r="M319" s="5">
        <f t="shared" si="18"/>
        <v>0</v>
      </c>
      <c r="N319" s="48" t="e">
        <f>PPMT($K319/12,1,$C$5-L319+1,$B$5+SUM($N$13:N318),0)</f>
        <v>#NUM!</v>
      </c>
      <c r="O319" s="48" t="e">
        <f>-($B$5+SUM($N$13:$N318))*$K319/12</f>
        <v>#NUM!</v>
      </c>
      <c r="P319" s="48" t="e">
        <f t="shared" si="19"/>
        <v>#NUM!</v>
      </c>
      <c r="Q319" s="48" t="e">
        <f>($B$5+SUM($D$13:$D319))</f>
        <v>#NUM!</v>
      </c>
    </row>
    <row r="320" spans="2:17">
      <c r="B320" s="45">
        <f>'Ипотечный калькулятор'!$C$21</f>
        <v>0.29000000000000004</v>
      </c>
      <c r="C320" s="47">
        <v>308</v>
      </c>
      <c r="D320" s="48" t="e">
        <f>PPMT($B320/12,1,$C$5-C320+1,$B$5+SUM($D$13:D319),0)</f>
        <v>#NUM!</v>
      </c>
      <c r="E320" s="48">
        <f>IFERROR(-($B$5+SUM($D$13:$D319))*$B320/12,0)</f>
        <v>0</v>
      </c>
      <c r="F320" s="48" t="e">
        <f t="shared" si="16"/>
        <v>#NUM!</v>
      </c>
      <c r="G320" s="48" t="e">
        <f>($B$5+SUM($D$13:$D320))</f>
        <v>#NUM!</v>
      </c>
      <c r="K320" s="45">
        <f t="shared" si="17"/>
        <v>3.7999999999999999E-2</v>
      </c>
      <c r="L320" s="47">
        <v>308</v>
      </c>
      <c r="M320" s="5">
        <f t="shared" si="18"/>
        <v>0</v>
      </c>
      <c r="N320" s="48" t="e">
        <f>PPMT($K320/12,1,$C$5-L320+1,$B$5+SUM($N$13:N319),0)</f>
        <v>#NUM!</v>
      </c>
      <c r="O320" s="48" t="e">
        <f>-($B$5+SUM($N$13:$N319))*$K320/12</f>
        <v>#NUM!</v>
      </c>
      <c r="P320" s="48" t="e">
        <f t="shared" si="19"/>
        <v>#NUM!</v>
      </c>
      <c r="Q320" s="48" t="e">
        <f>($B$5+SUM($D$13:$D320))</f>
        <v>#NUM!</v>
      </c>
    </row>
    <row r="321" spans="2:17">
      <c r="B321" s="45">
        <f>'Ипотечный калькулятор'!$C$21</f>
        <v>0.29000000000000004</v>
      </c>
      <c r="C321" s="47">
        <v>309</v>
      </c>
      <c r="D321" s="48" t="e">
        <f>PPMT($B321/12,1,$C$5-C321+1,$B$5+SUM($D$13:D320),0)</f>
        <v>#NUM!</v>
      </c>
      <c r="E321" s="48">
        <f>IFERROR(-($B$5+SUM($D$13:$D320))*$B321/12,0)</f>
        <v>0</v>
      </c>
      <c r="F321" s="48" t="e">
        <f t="shared" si="16"/>
        <v>#NUM!</v>
      </c>
      <c r="G321" s="48" t="e">
        <f>($B$5+SUM($D$13:$D321))</f>
        <v>#NUM!</v>
      </c>
      <c r="K321" s="45">
        <f t="shared" si="17"/>
        <v>3.7999999999999999E-2</v>
      </c>
      <c r="L321" s="46">
        <v>309</v>
      </c>
      <c r="M321" s="5">
        <f t="shared" si="18"/>
        <v>0</v>
      </c>
      <c r="N321" s="48" t="e">
        <f>PPMT($K321/12,1,$C$5-L321+1,$B$5+SUM($N$13:N320),0)</f>
        <v>#NUM!</v>
      </c>
      <c r="O321" s="48" t="e">
        <f>-($B$5+SUM($N$13:$N320))*$K321/12</f>
        <v>#NUM!</v>
      </c>
      <c r="P321" s="48" t="e">
        <f t="shared" si="19"/>
        <v>#NUM!</v>
      </c>
      <c r="Q321" s="48" t="e">
        <f>($B$5+SUM($D$13:$D321))</f>
        <v>#NUM!</v>
      </c>
    </row>
    <row r="322" spans="2:17">
      <c r="B322" s="45">
        <f>'Ипотечный калькулятор'!$C$21</f>
        <v>0.29000000000000004</v>
      </c>
      <c r="C322" s="47">
        <v>310</v>
      </c>
      <c r="D322" s="48" t="e">
        <f>PPMT($B322/12,1,$C$5-C322+1,$B$5+SUM($D$13:D321),0)</f>
        <v>#NUM!</v>
      </c>
      <c r="E322" s="48">
        <f>IFERROR(-($B$5+SUM($D$13:$D321))*$B322/12,0)</f>
        <v>0</v>
      </c>
      <c r="F322" s="48" t="e">
        <f t="shared" si="16"/>
        <v>#NUM!</v>
      </c>
      <c r="G322" s="48" t="e">
        <f>($B$5+SUM($D$13:$D322))</f>
        <v>#NUM!</v>
      </c>
      <c r="K322" s="45">
        <f t="shared" si="17"/>
        <v>3.7999999999999999E-2</v>
      </c>
      <c r="L322" s="47">
        <v>310</v>
      </c>
      <c r="M322" s="5">
        <f t="shared" si="18"/>
        <v>0</v>
      </c>
      <c r="N322" s="48" t="e">
        <f>PPMT($K322/12,1,$C$5-L322+1,$B$5+SUM($N$13:N321),0)</f>
        <v>#NUM!</v>
      </c>
      <c r="O322" s="48" t="e">
        <f>-($B$5+SUM($N$13:$N321))*$K322/12</f>
        <v>#NUM!</v>
      </c>
      <c r="P322" s="48" t="e">
        <f t="shared" si="19"/>
        <v>#NUM!</v>
      </c>
      <c r="Q322" s="48" t="e">
        <f>($B$5+SUM($D$13:$D322))</f>
        <v>#NUM!</v>
      </c>
    </row>
    <row r="323" spans="2:17">
      <c r="B323" s="45">
        <f>'Ипотечный калькулятор'!$C$21</f>
        <v>0.29000000000000004</v>
      </c>
      <c r="C323" s="47">
        <v>311</v>
      </c>
      <c r="D323" s="48" t="e">
        <f>PPMT($B323/12,1,$C$5-C323+1,$B$5+SUM($D$13:D322),0)</f>
        <v>#NUM!</v>
      </c>
      <c r="E323" s="48">
        <f>IFERROR(-($B$5+SUM($D$13:$D322))*$B323/12,0)</f>
        <v>0</v>
      </c>
      <c r="F323" s="48" t="e">
        <f t="shared" si="16"/>
        <v>#NUM!</v>
      </c>
      <c r="G323" s="48" t="e">
        <f>($B$5+SUM($D$13:$D323))</f>
        <v>#NUM!</v>
      </c>
      <c r="K323" s="45">
        <f t="shared" si="17"/>
        <v>3.7999999999999999E-2</v>
      </c>
      <c r="L323" s="46">
        <v>311</v>
      </c>
      <c r="M323" s="5">
        <f t="shared" si="18"/>
        <v>0</v>
      </c>
      <c r="N323" s="48" t="e">
        <f>PPMT($K323/12,1,$C$5-L323+1,$B$5+SUM($N$13:N322),0)</f>
        <v>#NUM!</v>
      </c>
      <c r="O323" s="48" t="e">
        <f>-($B$5+SUM($N$13:$N322))*$K323/12</f>
        <v>#NUM!</v>
      </c>
      <c r="P323" s="48" t="e">
        <f t="shared" si="19"/>
        <v>#NUM!</v>
      </c>
      <c r="Q323" s="48" t="e">
        <f>($B$5+SUM($D$13:$D323))</f>
        <v>#NUM!</v>
      </c>
    </row>
    <row r="324" spans="2:17">
      <c r="B324" s="45">
        <f>'Ипотечный калькулятор'!$C$21</f>
        <v>0.29000000000000004</v>
      </c>
      <c r="C324" s="47">
        <v>312</v>
      </c>
      <c r="D324" s="48" t="e">
        <f>PPMT($B324/12,1,$C$5-C324+1,$B$5+SUM($D$13:D323),0)</f>
        <v>#NUM!</v>
      </c>
      <c r="E324" s="48">
        <f>IFERROR(-($B$5+SUM($D$13:$D323))*$B324/12,0)</f>
        <v>0</v>
      </c>
      <c r="F324" s="48" t="e">
        <f t="shared" si="16"/>
        <v>#NUM!</v>
      </c>
      <c r="G324" s="48" t="e">
        <f>($B$5+SUM($D$13:$D324))</f>
        <v>#NUM!</v>
      </c>
      <c r="K324" s="45">
        <f t="shared" si="17"/>
        <v>3.7999999999999999E-2</v>
      </c>
      <c r="L324" s="47">
        <v>312</v>
      </c>
      <c r="M324" s="5">
        <f t="shared" si="18"/>
        <v>0</v>
      </c>
      <c r="N324" s="48" t="e">
        <f>PPMT($K324/12,1,$C$5-L324+1,$B$5+SUM($N$13:N323),0)</f>
        <v>#NUM!</v>
      </c>
      <c r="O324" s="48" t="e">
        <f>-($B$5+SUM($N$13:$N323))*$K324/12</f>
        <v>#NUM!</v>
      </c>
      <c r="P324" s="48" t="e">
        <f t="shared" si="19"/>
        <v>#NUM!</v>
      </c>
      <c r="Q324" s="48" t="e">
        <f>($B$5+SUM($D$13:$D324))</f>
        <v>#NUM!</v>
      </c>
    </row>
    <row r="325" spans="2:17">
      <c r="B325" s="45">
        <f>'Ипотечный калькулятор'!$C$21</f>
        <v>0.29000000000000004</v>
      </c>
      <c r="C325" s="47">
        <v>313</v>
      </c>
      <c r="D325" s="48" t="e">
        <f>PPMT($B325/12,1,$C$5-C325+1,$B$5+SUM($D$13:D324),0)</f>
        <v>#NUM!</v>
      </c>
      <c r="E325" s="48">
        <f>IFERROR(-($B$5+SUM($D$13:$D324))*$B325/12,0)</f>
        <v>0</v>
      </c>
      <c r="F325" s="48" t="e">
        <f t="shared" si="16"/>
        <v>#NUM!</v>
      </c>
      <c r="G325" s="48" t="e">
        <f>($B$5+SUM($D$13:$D325))</f>
        <v>#NUM!</v>
      </c>
      <c r="K325" s="45">
        <f t="shared" si="17"/>
        <v>3.7999999999999999E-2</v>
      </c>
      <c r="L325" s="46">
        <v>313</v>
      </c>
      <c r="M325" s="5">
        <f t="shared" si="18"/>
        <v>0</v>
      </c>
      <c r="N325" s="48" t="e">
        <f>PPMT($K325/12,1,$C$5-L325+1,$B$5+SUM($N$13:N324),0)</f>
        <v>#NUM!</v>
      </c>
      <c r="O325" s="48" t="e">
        <f>-($B$5+SUM($N$13:$N324))*$K325/12</f>
        <v>#NUM!</v>
      </c>
      <c r="P325" s="48" t="e">
        <f t="shared" si="19"/>
        <v>#NUM!</v>
      </c>
      <c r="Q325" s="48" t="e">
        <f>($B$5+SUM($D$13:$D325))</f>
        <v>#NUM!</v>
      </c>
    </row>
    <row r="326" spans="2:17">
      <c r="B326" s="45">
        <f>'Ипотечный калькулятор'!$C$21</f>
        <v>0.29000000000000004</v>
      </c>
      <c r="C326" s="47">
        <v>314</v>
      </c>
      <c r="D326" s="48" t="e">
        <f>PPMT($B326/12,1,$C$5-C326+1,$B$5+SUM($D$13:D325),0)</f>
        <v>#NUM!</v>
      </c>
      <c r="E326" s="48">
        <f>IFERROR(-($B$5+SUM($D$13:$D325))*$B326/12,0)</f>
        <v>0</v>
      </c>
      <c r="F326" s="48" t="e">
        <f t="shared" si="16"/>
        <v>#NUM!</v>
      </c>
      <c r="G326" s="48" t="e">
        <f>($B$5+SUM($D$13:$D326))</f>
        <v>#NUM!</v>
      </c>
      <c r="K326" s="45">
        <f t="shared" si="17"/>
        <v>3.7999999999999999E-2</v>
      </c>
      <c r="L326" s="47">
        <v>314</v>
      </c>
      <c r="M326" s="5">
        <f t="shared" si="18"/>
        <v>0</v>
      </c>
      <c r="N326" s="48" t="e">
        <f>PPMT($K326/12,1,$C$5-L326+1,$B$5+SUM($N$13:N325),0)</f>
        <v>#NUM!</v>
      </c>
      <c r="O326" s="48" t="e">
        <f>-($B$5+SUM($N$13:$N325))*$K326/12</f>
        <v>#NUM!</v>
      </c>
      <c r="P326" s="48" t="e">
        <f t="shared" si="19"/>
        <v>#NUM!</v>
      </c>
      <c r="Q326" s="48" t="e">
        <f>($B$5+SUM($D$13:$D326))</f>
        <v>#NUM!</v>
      </c>
    </row>
    <row r="327" spans="2:17">
      <c r="B327" s="45">
        <f>'Ипотечный калькулятор'!$C$21</f>
        <v>0.29000000000000004</v>
      </c>
      <c r="C327" s="47">
        <v>315</v>
      </c>
      <c r="D327" s="48" t="e">
        <f>PPMT($B327/12,1,$C$5-C327+1,$B$5+SUM($D$13:D326),0)</f>
        <v>#NUM!</v>
      </c>
      <c r="E327" s="48">
        <f>IFERROR(-($B$5+SUM($D$13:$D326))*$B327/12,0)</f>
        <v>0</v>
      </c>
      <c r="F327" s="48" t="e">
        <f t="shared" si="16"/>
        <v>#NUM!</v>
      </c>
      <c r="G327" s="48" t="e">
        <f>($B$5+SUM($D$13:$D327))</f>
        <v>#NUM!</v>
      </c>
      <c r="K327" s="45">
        <f t="shared" si="17"/>
        <v>3.7999999999999999E-2</v>
      </c>
      <c r="L327" s="46">
        <v>315</v>
      </c>
      <c r="M327" s="5">
        <f t="shared" si="18"/>
        <v>0</v>
      </c>
      <c r="N327" s="48" t="e">
        <f>PPMT($K327/12,1,$C$5-L327+1,$B$5+SUM($N$13:N326),0)</f>
        <v>#NUM!</v>
      </c>
      <c r="O327" s="48" t="e">
        <f>-($B$5+SUM($N$13:$N326))*$K327/12</f>
        <v>#NUM!</v>
      </c>
      <c r="P327" s="48" t="e">
        <f t="shared" si="19"/>
        <v>#NUM!</v>
      </c>
      <c r="Q327" s="48" t="e">
        <f>($B$5+SUM($D$13:$D327))</f>
        <v>#NUM!</v>
      </c>
    </row>
    <row r="328" spans="2:17">
      <c r="B328" s="45">
        <f>'Ипотечный калькулятор'!$C$21</f>
        <v>0.29000000000000004</v>
      </c>
      <c r="C328" s="47">
        <v>316</v>
      </c>
      <c r="D328" s="48" t="e">
        <f>PPMT($B328/12,1,$C$5-C328+1,$B$5+SUM($D$13:D327),0)</f>
        <v>#NUM!</v>
      </c>
      <c r="E328" s="48">
        <f>IFERROR(-($B$5+SUM($D$13:$D327))*$B328/12,0)</f>
        <v>0</v>
      </c>
      <c r="F328" s="48" t="e">
        <f t="shared" si="16"/>
        <v>#NUM!</v>
      </c>
      <c r="G328" s="48" t="e">
        <f>($B$5+SUM($D$13:$D328))</f>
        <v>#NUM!</v>
      </c>
      <c r="K328" s="45">
        <f t="shared" si="17"/>
        <v>3.7999999999999999E-2</v>
      </c>
      <c r="L328" s="47">
        <v>316</v>
      </c>
      <c r="M328" s="5">
        <f t="shared" si="18"/>
        <v>0</v>
      </c>
      <c r="N328" s="48" t="e">
        <f>PPMT($K328/12,1,$C$5-L328+1,$B$5+SUM($N$13:N327),0)</f>
        <v>#NUM!</v>
      </c>
      <c r="O328" s="48" t="e">
        <f>-($B$5+SUM($N$13:$N327))*$K328/12</f>
        <v>#NUM!</v>
      </c>
      <c r="P328" s="48" t="e">
        <f t="shared" si="19"/>
        <v>#NUM!</v>
      </c>
      <c r="Q328" s="48" t="e">
        <f>($B$5+SUM($D$13:$D328))</f>
        <v>#NUM!</v>
      </c>
    </row>
    <row r="329" spans="2:17">
      <c r="B329" s="45">
        <f>'Ипотечный калькулятор'!$C$21</f>
        <v>0.29000000000000004</v>
      </c>
      <c r="C329" s="47">
        <v>317</v>
      </c>
      <c r="D329" s="48" t="e">
        <f>PPMT($B329/12,1,$C$5-C329+1,$B$5+SUM($D$13:D328),0)</f>
        <v>#NUM!</v>
      </c>
      <c r="E329" s="48">
        <f>IFERROR(-($B$5+SUM($D$13:$D328))*$B329/12,0)</f>
        <v>0</v>
      </c>
      <c r="F329" s="48" t="e">
        <f t="shared" si="16"/>
        <v>#NUM!</v>
      </c>
      <c r="G329" s="48" t="e">
        <f>($B$5+SUM($D$13:$D329))</f>
        <v>#NUM!</v>
      </c>
      <c r="K329" s="45">
        <f t="shared" si="17"/>
        <v>3.7999999999999999E-2</v>
      </c>
      <c r="L329" s="46">
        <v>317</v>
      </c>
      <c r="M329" s="5">
        <f t="shared" si="18"/>
        <v>0</v>
      </c>
      <c r="N329" s="48" t="e">
        <f>PPMT($K329/12,1,$C$5-L329+1,$B$5+SUM($N$13:N328),0)</f>
        <v>#NUM!</v>
      </c>
      <c r="O329" s="48" t="e">
        <f>-($B$5+SUM($N$13:$N328))*$K329/12</f>
        <v>#NUM!</v>
      </c>
      <c r="P329" s="48" t="e">
        <f t="shared" si="19"/>
        <v>#NUM!</v>
      </c>
      <c r="Q329" s="48" t="e">
        <f>($B$5+SUM($D$13:$D329))</f>
        <v>#NUM!</v>
      </c>
    </row>
    <row r="330" spans="2:17">
      <c r="B330" s="45">
        <f>'Ипотечный калькулятор'!$C$21</f>
        <v>0.29000000000000004</v>
      </c>
      <c r="C330" s="47">
        <v>318</v>
      </c>
      <c r="D330" s="48" t="e">
        <f>PPMT($B330/12,1,$C$5-C330+1,$B$5+SUM($D$13:D329),0)</f>
        <v>#NUM!</v>
      </c>
      <c r="E330" s="48">
        <f>IFERROR(-($B$5+SUM($D$13:$D329))*$B330/12,0)</f>
        <v>0</v>
      </c>
      <c r="F330" s="48" t="e">
        <f t="shared" si="16"/>
        <v>#NUM!</v>
      </c>
      <c r="G330" s="48" t="e">
        <f>($B$5+SUM($D$13:$D330))</f>
        <v>#NUM!</v>
      </c>
      <c r="K330" s="45">
        <f t="shared" si="17"/>
        <v>3.7999999999999999E-2</v>
      </c>
      <c r="L330" s="47">
        <v>318</v>
      </c>
      <c r="M330" s="5">
        <f t="shared" si="18"/>
        <v>0</v>
      </c>
      <c r="N330" s="48" t="e">
        <f>PPMT($K330/12,1,$C$5-L330+1,$B$5+SUM($N$13:N329),0)</f>
        <v>#NUM!</v>
      </c>
      <c r="O330" s="48" t="e">
        <f>-($B$5+SUM($N$13:$N329))*$K330/12</f>
        <v>#NUM!</v>
      </c>
      <c r="P330" s="48" t="e">
        <f t="shared" si="19"/>
        <v>#NUM!</v>
      </c>
      <c r="Q330" s="48" t="e">
        <f>($B$5+SUM($D$13:$D330))</f>
        <v>#NUM!</v>
      </c>
    </row>
    <row r="331" spans="2:17">
      <c r="B331" s="45">
        <f>'Ипотечный калькулятор'!$C$21</f>
        <v>0.29000000000000004</v>
      </c>
      <c r="C331" s="47">
        <v>319</v>
      </c>
      <c r="D331" s="48" t="e">
        <f>PPMT($B331/12,1,$C$5-C331+1,$B$5+SUM($D$13:D330),0)</f>
        <v>#NUM!</v>
      </c>
      <c r="E331" s="48">
        <f>IFERROR(-($B$5+SUM($D$13:$D330))*$B331/12,0)</f>
        <v>0</v>
      </c>
      <c r="F331" s="48" t="e">
        <f t="shared" si="16"/>
        <v>#NUM!</v>
      </c>
      <c r="G331" s="48" t="e">
        <f>($B$5+SUM($D$13:$D331))</f>
        <v>#NUM!</v>
      </c>
      <c r="K331" s="45">
        <f t="shared" si="17"/>
        <v>3.7999999999999999E-2</v>
      </c>
      <c r="L331" s="46">
        <v>319</v>
      </c>
      <c r="M331" s="5">
        <f t="shared" si="18"/>
        <v>0</v>
      </c>
      <c r="N331" s="48" t="e">
        <f>PPMT($K331/12,1,$C$5-L331+1,$B$5+SUM($N$13:N330),0)</f>
        <v>#NUM!</v>
      </c>
      <c r="O331" s="48" t="e">
        <f>-($B$5+SUM($N$13:$N330))*$K331/12</f>
        <v>#NUM!</v>
      </c>
      <c r="P331" s="48" t="e">
        <f t="shared" si="19"/>
        <v>#NUM!</v>
      </c>
      <c r="Q331" s="48" t="e">
        <f>($B$5+SUM($D$13:$D331))</f>
        <v>#NUM!</v>
      </c>
    </row>
    <row r="332" spans="2:17">
      <c r="B332" s="45">
        <f>'Ипотечный калькулятор'!$C$21</f>
        <v>0.29000000000000004</v>
      </c>
      <c r="C332" s="47">
        <v>320</v>
      </c>
      <c r="D332" s="48" t="e">
        <f>PPMT($B332/12,1,$C$5-C332+1,$B$5+SUM($D$13:D331),0)</f>
        <v>#NUM!</v>
      </c>
      <c r="E332" s="48">
        <f>IFERROR(-($B$5+SUM($D$13:$D331))*$B332/12,0)</f>
        <v>0</v>
      </c>
      <c r="F332" s="48" t="e">
        <f t="shared" si="16"/>
        <v>#NUM!</v>
      </c>
      <c r="G332" s="48" t="e">
        <f>($B$5+SUM($D$13:$D332))</f>
        <v>#NUM!</v>
      </c>
      <c r="K332" s="45">
        <f t="shared" si="17"/>
        <v>3.7999999999999999E-2</v>
      </c>
      <c r="L332" s="47">
        <v>320</v>
      </c>
      <c r="M332" s="5">
        <f t="shared" si="18"/>
        <v>0</v>
      </c>
      <c r="N332" s="48" t="e">
        <f>PPMT($K332/12,1,$C$5-L332+1,$B$5+SUM($N$13:N331),0)</f>
        <v>#NUM!</v>
      </c>
      <c r="O332" s="48" t="e">
        <f>-($B$5+SUM($N$13:$N331))*$K332/12</f>
        <v>#NUM!</v>
      </c>
      <c r="P332" s="48" t="e">
        <f t="shared" si="19"/>
        <v>#NUM!</v>
      </c>
      <c r="Q332" s="48" t="e">
        <f>($B$5+SUM($D$13:$D332))</f>
        <v>#NUM!</v>
      </c>
    </row>
    <row r="333" spans="2:17">
      <c r="B333" s="45">
        <f>'Ипотечный калькулятор'!$C$21</f>
        <v>0.29000000000000004</v>
      </c>
      <c r="C333" s="47">
        <v>321</v>
      </c>
      <c r="D333" s="48" t="e">
        <f>PPMT($B333/12,1,$C$5-C333+1,$B$5+SUM($D$13:D332),0)</f>
        <v>#NUM!</v>
      </c>
      <c r="E333" s="48">
        <f>IFERROR(-($B$5+SUM($D$13:$D332))*$B333/12,0)</f>
        <v>0</v>
      </c>
      <c r="F333" s="48" t="e">
        <f t="shared" ref="F333:F374" si="20">SUM(D333:E333)</f>
        <v>#NUM!</v>
      </c>
      <c r="G333" s="48" t="e">
        <f>($B$5+SUM($D$13:$D333))</f>
        <v>#NUM!</v>
      </c>
      <c r="K333" s="45">
        <f t="shared" si="17"/>
        <v>3.7999999999999999E-2</v>
      </c>
      <c r="L333" s="46">
        <v>321</v>
      </c>
      <c r="M333" s="5">
        <f t="shared" si="18"/>
        <v>0</v>
      </c>
      <c r="N333" s="48" t="e">
        <f>PPMT($K333/12,1,$C$5-L333+1,$B$5+SUM($N$13:N332),0)</f>
        <v>#NUM!</v>
      </c>
      <c r="O333" s="48" t="e">
        <f>-($B$5+SUM($N$13:$N332))*$K333/12</f>
        <v>#NUM!</v>
      </c>
      <c r="P333" s="48" t="e">
        <f t="shared" si="19"/>
        <v>#NUM!</v>
      </c>
      <c r="Q333" s="48" t="e">
        <f>($B$5+SUM($D$13:$D333))</f>
        <v>#NUM!</v>
      </c>
    </row>
    <row r="334" spans="2:17">
      <c r="B334" s="45">
        <f>'Ипотечный калькулятор'!$C$21</f>
        <v>0.29000000000000004</v>
      </c>
      <c r="C334" s="47">
        <v>322</v>
      </c>
      <c r="D334" s="48" t="e">
        <f>PPMT($B334/12,1,$C$5-C334+1,$B$5+SUM($D$13:D333),0)</f>
        <v>#NUM!</v>
      </c>
      <c r="E334" s="48">
        <f>IFERROR(-($B$5+SUM($D$13:$D333))*$B334/12,0)</f>
        <v>0</v>
      </c>
      <c r="F334" s="48" t="e">
        <f t="shared" si="20"/>
        <v>#NUM!</v>
      </c>
      <c r="G334" s="48" t="e">
        <f>($B$5+SUM($D$13:$D334))</f>
        <v>#NUM!</v>
      </c>
      <c r="K334" s="45">
        <f t="shared" ref="K334:K374" si="21">$K$5</f>
        <v>3.7999999999999999E-2</v>
      </c>
      <c r="L334" s="47">
        <v>322</v>
      </c>
      <c r="M334" s="5">
        <f t="shared" si="18"/>
        <v>0</v>
      </c>
      <c r="N334" s="48" t="e">
        <f>PPMT($K334/12,1,$C$5-L334+1,$B$5+SUM($N$13:N333),0)</f>
        <v>#NUM!</v>
      </c>
      <c r="O334" s="48" t="e">
        <f>-($B$5+SUM($N$13:$N333))*$K334/12</f>
        <v>#NUM!</v>
      </c>
      <c r="P334" s="48" t="e">
        <f t="shared" si="19"/>
        <v>#NUM!</v>
      </c>
      <c r="Q334" s="48" t="e">
        <f>($B$5+SUM($D$13:$D334))</f>
        <v>#NUM!</v>
      </c>
    </row>
    <row r="335" spans="2:17">
      <c r="B335" s="45">
        <f>'Ипотечный калькулятор'!$C$21</f>
        <v>0.29000000000000004</v>
      </c>
      <c r="C335" s="47">
        <v>323</v>
      </c>
      <c r="D335" s="48" t="e">
        <f>PPMT($B335/12,1,$C$5-C335+1,$B$5+SUM($D$13:D334),0)</f>
        <v>#NUM!</v>
      </c>
      <c r="E335" s="48">
        <f>IFERROR(-($B$5+SUM($D$13:$D334))*$B335/12,0)</f>
        <v>0</v>
      </c>
      <c r="F335" s="48" t="e">
        <f t="shared" si="20"/>
        <v>#NUM!</v>
      </c>
      <c r="G335" s="48" t="e">
        <f>($B$5+SUM($D$13:$D335))</f>
        <v>#NUM!</v>
      </c>
      <c r="K335" s="45">
        <f t="shared" si="21"/>
        <v>3.7999999999999999E-2</v>
      </c>
      <c r="L335" s="46">
        <v>323</v>
      </c>
      <c r="M335" s="5">
        <f t="shared" ref="M335:M373" si="22">IF(C335-2&lt;$L$5,IFERROR(F335-P335,0),0)</f>
        <v>0</v>
      </c>
      <c r="N335" s="48" t="e">
        <f>PPMT($K335/12,1,$C$5-L335+1,$B$5+SUM($N$13:N334),0)</f>
        <v>#NUM!</v>
      </c>
      <c r="O335" s="48" t="e">
        <f>-($B$5+SUM($N$13:$N334))*$K335/12</f>
        <v>#NUM!</v>
      </c>
      <c r="P335" s="48" t="e">
        <f t="shared" ref="P335:P374" si="23">SUM(N335:O335)</f>
        <v>#NUM!</v>
      </c>
      <c r="Q335" s="48" t="e">
        <f>($B$5+SUM($D$13:$D335))</f>
        <v>#NUM!</v>
      </c>
    </row>
    <row r="336" spans="2:17">
      <c r="B336" s="45">
        <f>'Ипотечный калькулятор'!$C$21</f>
        <v>0.29000000000000004</v>
      </c>
      <c r="C336" s="47">
        <v>324</v>
      </c>
      <c r="D336" s="48" t="e">
        <f>PPMT($B336/12,1,$C$5-C336+1,$B$5+SUM($D$13:D335),0)</f>
        <v>#NUM!</v>
      </c>
      <c r="E336" s="48">
        <f>IFERROR(-($B$5+SUM($D$13:$D335))*$B336/12,0)</f>
        <v>0</v>
      </c>
      <c r="F336" s="48" t="e">
        <f t="shared" si="20"/>
        <v>#NUM!</v>
      </c>
      <c r="G336" s="48" t="e">
        <f>($B$5+SUM($D$13:$D336))</f>
        <v>#NUM!</v>
      </c>
      <c r="K336" s="45">
        <f t="shared" si="21"/>
        <v>3.7999999999999999E-2</v>
      </c>
      <c r="L336" s="47">
        <v>324</v>
      </c>
      <c r="M336" s="5">
        <f t="shared" si="22"/>
        <v>0</v>
      </c>
      <c r="N336" s="48" t="e">
        <f>PPMT($K336/12,1,$C$5-L336+1,$B$5+SUM($N$13:N335),0)</f>
        <v>#NUM!</v>
      </c>
      <c r="O336" s="48" t="e">
        <f>-($B$5+SUM($N$13:$N335))*$K336/12</f>
        <v>#NUM!</v>
      </c>
      <c r="P336" s="48" t="e">
        <f t="shared" si="23"/>
        <v>#NUM!</v>
      </c>
      <c r="Q336" s="48" t="e">
        <f>($B$5+SUM($D$13:$D336))</f>
        <v>#NUM!</v>
      </c>
    </row>
    <row r="337" spans="2:17">
      <c r="B337" s="45">
        <f>'Ипотечный калькулятор'!$C$21</f>
        <v>0.29000000000000004</v>
      </c>
      <c r="C337" s="47">
        <v>325</v>
      </c>
      <c r="D337" s="48" t="e">
        <f>PPMT($B337/12,1,$C$5-C337+1,$B$5+SUM($D$13:D336),0)</f>
        <v>#NUM!</v>
      </c>
      <c r="E337" s="48">
        <f>IFERROR(-($B$5+SUM($D$13:$D336))*$B337/12,0)</f>
        <v>0</v>
      </c>
      <c r="F337" s="48" t="e">
        <f t="shared" si="20"/>
        <v>#NUM!</v>
      </c>
      <c r="G337" s="48" t="e">
        <f>($B$5+SUM($D$13:$D337))</f>
        <v>#NUM!</v>
      </c>
      <c r="K337" s="45">
        <f t="shared" si="21"/>
        <v>3.7999999999999999E-2</v>
      </c>
      <c r="L337" s="46">
        <v>325</v>
      </c>
      <c r="M337" s="5">
        <f t="shared" si="22"/>
        <v>0</v>
      </c>
      <c r="N337" s="48" t="e">
        <f>PPMT($K337/12,1,$C$5-L337+1,$B$5+SUM($N$13:N336),0)</f>
        <v>#NUM!</v>
      </c>
      <c r="O337" s="48" t="e">
        <f>-($B$5+SUM($N$13:$N336))*$K337/12</f>
        <v>#NUM!</v>
      </c>
      <c r="P337" s="48" t="e">
        <f t="shared" si="23"/>
        <v>#NUM!</v>
      </c>
      <c r="Q337" s="48" t="e">
        <f>($B$5+SUM($D$13:$D337))</f>
        <v>#NUM!</v>
      </c>
    </row>
    <row r="338" spans="2:17">
      <c r="B338" s="45">
        <f>'Ипотечный калькулятор'!$C$21</f>
        <v>0.29000000000000004</v>
      </c>
      <c r="C338" s="47">
        <v>326</v>
      </c>
      <c r="D338" s="48" t="e">
        <f>PPMT($B338/12,1,$C$5-C338+1,$B$5+SUM($D$13:D337),0)</f>
        <v>#NUM!</v>
      </c>
      <c r="E338" s="48">
        <f>IFERROR(-($B$5+SUM($D$13:$D337))*$B338/12,0)</f>
        <v>0</v>
      </c>
      <c r="F338" s="48" t="e">
        <f t="shared" si="20"/>
        <v>#NUM!</v>
      </c>
      <c r="G338" s="48" t="e">
        <f>($B$5+SUM($D$13:$D338))</f>
        <v>#NUM!</v>
      </c>
      <c r="K338" s="45">
        <f t="shared" si="21"/>
        <v>3.7999999999999999E-2</v>
      </c>
      <c r="L338" s="47">
        <v>326</v>
      </c>
      <c r="M338" s="5">
        <f t="shared" si="22"/>
        <v>0</v>
      </c>
      <c r="N338" s="48" t="e">
        <f>PPMT($K338/12,1,$C$5-L338+1,$B$5+SUM($N$13:N337),0)</f>
        <v>#NUM!</v>
      </c>
      <c r="O338" s="48" t="e">
        <f>-($B$5+SUM($N$13:$N337))*$K338/12</f>
        <v>#NUM!</v>
      </c>
      <c r="P338" s="48" t="e">
        <f t="shared" si="23"/>
        <v>#NUM!</v>
      </c>
      <c r="Q338" s="48" t="e">
        <f>($B$5+SUM($D$13:$D338))</f>
        <v>#NUM!</v>
      </c>
    </row>
    <row r="339" spans="2:17">
      <c r="B339" s="45">
        <f>'Ипотечный калькулятор'!$C$21</f>
        <v>0.29000000000000004</v>
      </c>
      <c r="C339" s="47">
        <v>327</v>
      </c>
      <c r="D339" s="48" t="e">
        <f>PPMT($B339/12,1,$C$5-C339+1,$B$5+SUM($D$13:D338),0)</f>
        <v>#NUM!</v>
      </c>
      <c r="E339" s="48">
        <f>IFERROR(-($B$5+SUM($D$13:$D338))*$B339/12,0)</f>
        <v>0</v>
      </c>
      <c r="F339" s="48" t="e">
        <f t="shared" si="20"/>
        <v>#NUM!</v>
      </c>
      <c r="G339" s="48" t="e">
        <f>($B$5+SUM($D$13:$D339))</f>
        <v>#NUM!</v>
      </c>
      <c r="K339" s="45">
        <f t="shared" si="21"/>
        <v>3.7999999999999999E-2</v>
      </c>
      <c r="L339" s="46">
        <v>327</v>
      </c>
      <c r="M339" s="5">
        <f t="shared" si="22"/>
        <v>0</v>
      </c>
      <c r="N339" s="48" t="e">
        <f>PPMT($K339/12,1,$C$5-L339+1,$B$5+SUM($N$13:N338),0)</f>
        <v>#NUM!</v>
      </c>
      <c r="O339" s="48" t="e">
        <f>-($B$5+SUM($N$13:$N338))*$K339/12</f>
        <v>#NUM!</v>
      </c>
      <c r="P339" s="48" t="e">
        <f t="shared" si="23"/>
        <v>#NUM!</v>
      </c>
      <c r="Q339" s="48" t="e">
        <f>($B$5+SUM($D$13:$D339))</f>
        <v>#NUM!</v>
      </c>
    </row>
    <row r="340" spans="2:17">
      <c r="B340" s="45">
        <f>'Ипотечный калькулятор'!$C$21</f>
        <v>0.29000000000000004</v>
      </c>
      <c r="C340" s="47">
        <v>328</v>
      </c>
      <c r="D340" s="48" t="e">
        <f>PPMT($B340/12,1,$C$5-C340+1,$B$5+SUM($D$13:D339),0)</f>
        <v>#NUM!</v>
      </c>
      <c r="E340" s="48">
        <f>IFERROR(-($B$5+SUM($D$13:$D339))*$B340/12,0)</f>
        <v>0</v>
      </c>
      <c r="F340" s="48" t="e">
        <f t="shared" si="20"/>
        <v>#NUM!</v>
      </c>
      <c r="G340" s="48" t="e">
        <f>($B$5+SUM($D$13:$D340))</f>
        <v>#NUM!</v>
      </c>
      <c r="K340" s="45">
        <f t="shared" si="21"/>
        <v>3.7999999999999999E-2</v>
      </c>
      <c r="L340" s="47">
        <v>328</v>
      </c>
      <c r="M340" s="5">
        <f t="shared" si="22"/>
        <v>0</v>
      </c>
      <c r="N340" s="48" t="e">
        <f>PPMT($K340/12,1,$C$5-L340+1,$B$5+SUM($N$13:N339),0)</f>
        <v>#NUM!</v>
      </c>
      <c r="O340" s="48" t="e">
        <f>-($B$5+SUM($N$13:$N339))*$K340/12</f>
        <v>#NUM!</v>
      </c>
      <c r="P340" s="48" t="e">
        <f t="shared" si="23"/>
        <v>#NUM!</v>
      </c>
      <c r="Q340" s="48" t="e">
        <f>($B$5+SUM($D$13:$D340))</f>
        <v>#NUM!</v>
      </c>
    </row>
    <row r="341" spans="2:17">
      <c r="B341" s="45">
        <f>'Ипотечный калькулятор'!$C$21</f>
        <v>0.29000000000000004</v>
      </c>
      <c r="C341" s="47">
        <v>329</v>
      </c>
      <c r="D341" s="48" t="e">
        <f>PPMT($B341/12,1,$C$5-C341+1,$B$5+SUM($D$13:D340),0)</f>
        <v>#NUM!</v>
      </c>
      <c r="E341" s="48">
        <f>IFERROR(-($B$5+SUM($D$13:$D340))*$B341/12,0)</f>
        <v>0</v>
      </c>
      <c r="F341" s="48" t="e">
        <f t="shared" si="20"/>
        <v>#NUM!</v>
      </c>
      <c r="G341" s="48" t="e">
        <f>($B$5+SUM($D$13:$D341))</f>
        <v>#NUM!</v>
      </c>
      <c r="K341" s="45">
        <f t="shared" si="21"/>
        <v>3.7999999999999999E-2</v>
      </c>
      <c r="L341" s="46">
        <v>329</v>
      </c>
      <c r="M341" s="5">
        <f t="shared" si="22"/>
        <v>0</v>
      </c>
      <c r="N341" s="48" t="e">
        <f>PPMT($K341/12,1,$C$5-L341+1,$B$5+SUM($N$13:N340),0)</f>
        <v>#NUM!</v>
      </c>
      <c r="O341" s="48" t="e">
        <f>-($B$5+SUM($N$13:$N340))*$K341/12</f>
        <v>#NUM!</v>
      </c>
      <c r="P341" s="48" t="e">
        <f t="shared" si="23"/>
        <v>#NUM!</v>
      </c>
      <c r="Q341" s="48" t="e">
        <f>($B$5+SUM($D$13:$D341))</f>
        <v>#NUM!</v>
      </c>
    </row>
    <row r="342" spans="2:17">
      <c r="B342" s="45">
        <f>'Ипотечный калькулятор'!$C$21</f>
        <v>0.29000000000000004</v>
      </c>
      <c r="C342" s="47">
        <v>330</v>
      </c>
      <c r="D342" s="48" t="e">
        <f>PPMT($B342/12,1,$C$5-C342+1,$B$5+SUM($D$13:D341),0)</f>
        <v>#NUM!</v>
      </c>
      <c r="E342" s="48">
        <f>IFERROR(-($B$5+SUM($D$13:$D341))*$B342/12,0)</f>
        <v>0</v>
      </c>
      <c r="F342" s="48" t="e">
        <f t="shared" si="20"/>
        <v>#NUM!</v>
      </c>
      <c r="G342" s="48" t="e">
        <f>($B$5+SUM($D$13:$D342))</f>
        <v>#NUM!</v>
      </c>
      <c r="K342" s="45">
        <f t="shared" si="21"/>
        <v>3.7999999999999999E-2</v>
      </c>
      <c r="L342" s="47">
        <v>330</v>
      </c>
      <c r="M342" s="5">
        <f t="shared" si="22"/>
        <v>0</v>
      </c>
      <c r="N342" s="48" t="e">
        <f>PPMT($K342/12,1,$C$5-L342+1,$B$5+SUM($N$13:N341),0)</f>
        <v>#NUM!</v>
      </c>
      <c r="O342" s="48" t="e">
        <f>-($B$5+SUM($N$13:$N341))*$K342/12</f>
        <v>#NUM!</v>
      </c>
      <c r="P342" s="48" t="e">
        <f t="shared" si="23"/>
        <v>#NUM!</v>
      </c>
      <c r="Q342" s="48" t="e">
        <f>($B$5+SUM($D$13:$D342))</f>
        <v>#NUM!</v>
      </c>
    </row>
    <row r="343" spans="2:17">
      <c r="B343" s="45">
        <f>'Ипотечный калькулятор'!$C$21</f>
        <v>0.29000000000000004</v>
      </c>
      <c r="C343" s="47">
        <v>331</v>
      </c>
      <c r="D343" s="48" t="e">
        <f>PPMT($B343/12,1,$C$5-C343+1,$B$5+SUM($D$13:D342),0)</f>
        <v>#NUM!</v>
      </c>
      <c r="E343" s="48">
        <f>IFERROR(-($B$5+SUM($D$13:$D342))*$B343/12,0)</f>
        <v>0</v>
      </c>
      <c r="F343" s="48" t="e">
        <f t="shared" si="20"/>
        <v>#NUM!</v>
      </c>
      <c r="G343" s="48" t="e">
        <f>($B$5+SUM($D$13:$D343))</f>
        <v>#NUM!</v>
      </c>
      <c r="K343" s="45">
        <f t="shared" si="21"/>
        <v>3.7999999999999999E-2</v>
      </c>
      <c r="L343" s="46">
        <v>331</v>
      </c>
      <c r="M343" s="5">
        <f t="shared" si="22"/>
        <v>0</v>
      </c>
      <c r="N343" s="48" t="e">
        <f>PPMT($K343/12,1,$C$5-L343+1,$B$5+SUM($N$13:N342),0)</f>
        <v>#NUM!</v>
      </c>
      <c r="O343" s="48" t="e">
        <f>-($B$5+SUM($N$13:$N342))*$K343/12</f>
        <v>#NUM!</v>
      </c>
      <c r="P343" s="48" t="e">
        <f t="shared" si="23"/>
        <v>#NUM!</v>
      </c>
      <c r="Q343" s="48" t="e">
        <f>($B$5+SUM($D$13:$D343))</f>
        <v>#NUM!</v>
      </c>
    </row>
    <row r="344" spans="2:17">
      <c r="B344" s="45">
        <f>'Ипотечный калькулятор'!$C$21</f>
        <v>0.29000000000000004</v>
      </c>
      <c r="C344" s="47">
        <v>332</v>
      </c>
      <c r="D344" s="48" t="e">
        <f>PPMT($B344/12,1,$C$5-C344+1,$B$5+SUM($D$13:D343),0)</f>
        <v>#NUM!</v>
      </c>
      <c r="E344" s="48">
        <f>IFERROR(-($B$5+SUM($D$13:$D343))*$B344/12,0)</f>
        <v>0</v>
      </c>
      <c r="F344" s="48" t="e">
        <f t="shared" si="20"/>
        <v>#NUM!</v>
      </c>
      <c r="G344" s="48" t="e">
        <f>($B$5+SUM($D$13:$D344))</f>
        <v>#NUM!</v>
      </c>
      <c r="K344" s="45">
        <f t="shared" si="21"/>
        <v>3.7999999999999999E-2</v>
      </c>
      <c r="L344" s="47">
        <v>332</v>
      </c>
      <c r="M344" s="5">
        <f t="shared" si="22"/>
        <v>0</v>
      </c>
      <c r="N344" s="48" t="e">
        <f>PPMT($K344/12,1,$C$5-L344+1,$B$5+SUM($N$13:N343),0)</f>
        <v>#NUM!</v>
      </c>
      <c r="O344" s="48" t="e">
        <f>-($B$5+SUM($N$13:$N343))*$K344/12</f>
        <v>#NUM!</v>
      </c>
      <c r="P344" s="48" t="e">
        <f t="shared" si="23"/>
        <v>#NUM!</v>
      </c>
      <c r="Q344" s="48" t="e">
        <f>($B$5+SUM($D$13:$D344))</f>
        <v>#NUM!</v>
      </c>
    </row>
    <row r="345" spans="2:17">
      <c r="B345" s="45">
        <f>'Ипотечный калькулятор'!$C$21</f>
        <v>0.29000000000000004</v>
      </c>
      <c r="C345" s="47">
        <v>333</v>
      </c>
      <c r="D345" s="48" t="e">
        <f>PPMT($B345/12,1,$C$5-C345+1,$B$5+SUM($D$13:D344),0)</f>
        <v>#NUM!</v>
      </c>
      <c r="E345" s="48">
        <f>IFERROR(-($B$5+SUM($D$13:$D344))*$B345/12,0)</f>
        <v>0</v>
      </c>
      <c r="F345" s="48" t="e">
        <f t="shared" si="20"/>
        <v>#NUM!</v>
      </c>
      <c r="G345" s="48" t="e">
        <f>($B$5+SUM($D$13:$D345))</f>
        <v>#NUM!</v>
      </c>
      <c r="K345" s="45">
        <f t="shared" si="21"/>
        <v>3.7999999999999999E-2</v>
      </c>
      <c r="L345" s="46">
        <v>333</v>
      </c>
      <c r="M345" s="5">
        <f t="shared" si="22"/>
        <v>0</v>
      </c>
      <c r="N345" s="48" t="e">
        <f>PPMT($K345/12,1,$C$5-L345+1,$B$5+SUM($N$13:N344),0)</f>
        <v>#NUM!</v>
      </c>
      <c r="O345" s="48" t="e">
        <f>-($B$5+SUM($N$13:$N344))*$K345/12</f>
        <v>#NUM!</v>
      </c>
      <c r="P345" s="48" t="e">
        <f t="shared" si="23"/>
        <v>#NUM!</v>
      </c>
      <c r="Q345" s="48" t="e">
        <f>($B$5+SUM($D$13:$D345))</f>
        <v>#NUM!</v>
      </c>
    </row>
    <row r="346" spans="2:17">
      <c r="B346" s="45">
        <f>'Ипотечный калькулятор'!$C$21</f>
        <v>0.29000000000000004</v>
      </c>
      <c r="C346" s="47">
        <v>334</v>
      </c>
      <c r="D346" s="48" t="e">
        <f>PPMT($B346/12,1,$C$5-C346+1,$B$5+SUM($D$13:D345),0)</f>
        <v>#NUM!</v>
      </c>
      <c r="E346" s="48">
        <f>IFERROR(-($B$5+SUM($D$13:$D345))*$B346/12,0)</f>
        <v>0</v>
      </c>
      <c r="F346" s="48" t="e">
        <f t="shared" si="20"/>
        <v>#NUM!</v>
      </c>
      <c r="G346" s="48" t="e">
        <f>($B$5+SUM($D$13:$D346))</f>
        <v>#NUM!</v>
      </c>
      <c r="K346" s="45">
        <f t="shared" si="21"/>
        <v>3.7999999999999999E-2</v>
      </c>
      <c r="L346" s="47">
        <v>334</v>
      </c>
      <c r="M346" s="5">
        <f t="shared" si="22"/>
        <v>0</v>
      </c>
      <c r="N346" s="48" t="e">
        <f>PPMT($K346/12,1,$C$5-L346+1,$B$5+SUM($N$13:N345),0)</f>
        <v>#NUM!</v>
      </c>
      <c r="O346" s="48" t="e">
        <f>-($B$5+SUM($N$13:$N345))*$K346/12</f>
        <v>#NUM!</v>
      </c>
      <c r="P346" s="48" t="e">
        <f t="shared" si="23"/>
        <v>#NUM!</v>
      </c>
      <c r="Q346" s="48" t="e">
        <f>($B$5+SUM($D$13:$D346))</f>
        <v>#NUM!</v>
      </c>
    </row>
    <row r="347" spans="2:17">
      <c r="B347" s="45">
        <f>'Ипотечный калькулятор'!$C$21</f>
        <v>0.29000000000000004</v>
      </c>
      <c r="C347" s="47">
        <v>335</v>
      </c>
      <c r="D347" s="48" t="e">
        <f>PPMT($B347/12,1,$C$5-C347+1,$B$5+SUM($D$13:D346),0)</f>
        <v>#NUM!</v>
      </c>
      <c r="E347" s="48">
        <f>IFERROR(-($B$5+SUM($D$13:$D346))*$B347/12,0)</f>
        <v>0</v>
      </c>
      <c r="F347" s="48" t="e">
        <f t="shared" si="20"/>
        <v>#NUM!</v>
      </c>
      <c r="G347" s="48" t="e">
        <f>($B$5+SUM($D$13:$D347))</f>
        <v>#NUM!</v>
      </c>
      <c r="K347" s="45">
        <f t="shared" si="21"/>
        <v>3.7999999999999999E-2</v>
      </c>
      <c r="L347" s="46">
        <v>335</v>
      </c>
      <c r="M347" s="5">
        <f t="shared" si="22"/>
        <v>0</v>
      </c>
      <c r="N347" s="48" t="e">
        <f>PPMT($K347/12,1,$C$5-L347+1,$B$5+SUM($N$13:N346),0)</f>
        <v>#NUM!</v>
      </c>
      <c r="O347" s="48" t="e">
        <f>-($B$5+SUM($N$13:$N346))*$K347/12</f>
        <v>#NUM!</v>
      </c>
      <c r="P347" s="48" t="e">
        <f t="shared" si="23"/>
        <v>#NUM!</v>
      </c>
      <c r="Q347" s="48" t="e">
        <f>($B$5+SUM($D$13:$D347))</f>
        <v>#NUM!</v>
      </c>
    </row>
    <row r="348" spans="2:17">
      <c r="B348" s="45">
        <f>'Ипотечный калькулятор'!$C$21</f>
        <v>0.29000000000000004</v>
      </c>
      <c r="C348" s="47">
        <v>336</v>
      </c>
      <c r="D348" s="48" t="e">
        <f>PPMT($B348/12,1,$C$5-C348+1,$B$5+SUM($D$13:D347),0)</f>
        <v>#NUM!</v>
      </c>
      <c r="E348" s="48">
        <f>IFERROR(-($B$5+SUM($D$13:$D347))*$B348/12,0)</f>
        <v>0</v>
      </c>
      <c r="F348" s="48" t="e">
        <f t="shared" si="20"/>
        <v>#NUM!</v>
      </c>
      <c r="G348" s="48" t="e">
        <f>($B$5+SUM($D$13:$D348))</f>
        <v>#NUM!</v>
      </c>
      <c r="K348" s="45">
        <f t="shared" si="21"/>
        <v>3.7999999999999999E-2</v>
      </c>
      <c r="L348" s="47">
        <v>336</v>
      </c>
      <c r="M348" s="5">
        <f t="shared" si="22"/>
        <v>0</v>
      </c>
      <c r="N348" s="48" t="e">
        <f>PPMT($K348/12,1,$C$5-L348+1,$B$5+SUM($N$13:N347),0)</f>
        <v>#NUM!</v>
      </c>
      <c r="O348" s="48" t="e">
        <f>-($B$5+SUM($N$13:$N347))*$K348/12</f>
        <v>#NUM!</v>
      </c>
      <c r="P348" s="48" t="e">
        <f t="shared" si="23"/>
        <v>#NUM!</v>
      </c>
      <c r="Q348" s="48" t="e">
        <f>($B$5+SUM($D$13:$D348))</f>
        <v>#NUM!</v>
      </c>
    </row>
    <row r="349" spans="2:17">
      <c r="B349" s="45">
        <f>'Ипотечный калькулятор'!$C$21</f>
        <v>0.29000000000000004</v>
      </c>
      <c r="C349" s="47">
        <v>337</v>
      </c>
      <c r="D349" s="48" t="e">
        <f>PPMT($B349/12,1,$C$5-C349+1,$B$5+SUM($D$13:D348),0)</f>
        <v>#NUM!</v>
      </c>
      <c r="E349" s="48">
        <f>IFERROR(-($B$5+SUM($D$13:$D348))*$B349/12,0)</f>
        <v>0</v>
      </c>
      <c r="F349" s="48" t="e">
        <f t="shared" si="20"/>
        <v>#NUM!</v>
      </c>
      <c r="G349" s="48" t="e">
        <f>($B$5+SUM($D$13:$D349))</f>
        <v>#NUM!</v>
      </c>
      <c r="K349" s="45">
        <f t="shared" si="21"/>
        <v>3.7999999999999999E-2</v>
      </c>
      <c r="L349" s="46">
        <v>337</v>
      </c>
      <c r="M349" s="5">
        <f t="shared" si="22"/>
        <v>0</v>
      </c>
      <c r="N349" s="48" t="e">
        <f>PPMT($K349/12,1,$C$5-L349+1,$B$5+SUM($N$13:N348),0)</f>
        <v>#NUM!</v>
      </c>
      <c r="O349" s="48" t="e">
        <f>-($B$5+SUM($N$13:$N348))*$K349/12</f>
        <v>#NUM!</v>
      </c>
      <c r="P349" s="48" t="e">
        <f t="shared" si="23"/>
        <v>#NUM!</v>
      </c>
      <c r="Q349" s="48" t="e">
        <f>($B$5+SUM($D$13:$D349))</f>
        <v>#NUM!</v>
      </c>
    </row>
    <row r="350" spans="2:17">
      <c r="B350" s="45">
        <f>'Ипотечный калькулятор'!$C$21</f>
        <v>0.29000000000000004</v>
      </c>
      <c r="C350" s="47">
        <v>338</v>
      </c>
      <c r="D350" s="48" t="e">
        <f>PPMT($B350/12,1,$C$5-C350+1,$B$5+SUM($D$13:D349),0)</f>
        <v>#NUM!</v>
      </c>
      <c r="E350" s="48">
        <f>IFERROR(-($B$5+SUM($D$13:$D349))*$B350/12,0)</f>
        <v>0</v>
      </c>
      <c r="F350" s="48" t="e">
        <f t="shared" si="20"/>
        <v>#NUM!</v>
      </c>
      <c r="G350" s="48" t="e">
        <f>($B$5+SUM($D$13:$D350))</f>
        <v>#NUM!</v>
      </c>
      <c r="K350" s="45">
        <f t="shared" si="21"/>
        <v>3.7999999999999999E-2</v>
      </c>
      <c r="L350" s="47">
        <v>338</v>
      </c>
      <c r="M350" s="5">
        <f t="shared" si="22"/>
        <v>0</v>
      </c>
      <c r="N350" s="48" t="e">
        <f>PPMT($K350/12,1,$C$5-L350+1,$B$5+SUM($N$13:N349),0)</f>
        <v>#NUM!</v>
      </c>
      <c r="O350" s="48" t="e">
        <f>-($B$5+SUM($N$13:$N349))*$K350/12</f>
        <v>#NUM!</v>
      </c>
      <c r="P350" s="48" t="e">
        <f t="shared" si="23"/>
        <v>#NUM!</v>
      </c>
      <c r="Q350" s="48" t="e">
        <f>($B$5+SUM($D$13:$D350))</f>
        <v>#NUM!</v>
      </c>
    </row>
    <row r="351" spans="2:17">
      <c r="B351" s="45">
        <f>'Ипотечный калькулятор'!$C$21</f>
        <v>0.29000000000000004</v>
      </c>
      <c r="C351" s="47">
        <v>339</v>
      </c>
      <c r="D351" s="48" t="e">
        <f>PPMT($B351/12,1,$C$5-C351+1,$B$5+SUM($D$13:D350),0)</f>
        <v>#NUM!</v>
      </c>
      <c r="E351" s="48">
        <f>IFERROR(-($B$5+SUM($D$13:$D350))*$B351/12,0)</f>
        <v>0</v>
      </c>
      <c r="F351" s="48" t="e">
        <f t="shared" si="20"/>
        <v>#NUM!</v>
      </c>
      <c r="G351" s="48" t="e">
        <f>($B$5+SUM($D$13:$D351))</f>
        <v>#NUM!</v>
      </c>
      <c r="K351" s="45">
        <f t="shared" si="21"/>
        <v>3.7999999999999999E-2</v>
      </c>
      <c r="L351" s="46">
        <v>339</v>
      </c>
      <c r="M351" s="5">
        <f t="shared" si="22"/>
        <v>0</v>
      </c>
      <c r="N351" s="48" t="e">
        <f>PPMT($K351/12,1,$C$5-L351+1,$B$5+SUM($N$13:N350),0)</f>
        <v>#NUM!</v>
      </c>
      <c r="O351" s="48" t="e">
        <f>-($B$5+SUM($N$13:$N350))*$K351/12</f>
        <v>#NUM!</v>
      </c>
      <c r="P351" s="48" t="e">
        <f t="shared" si="23"/>
        <v>#NUM!</v>
      </c>
      <c r="Q351" s="48" t="e">
        <f>($B$5+SUM($D$13:$D351))</f>
        <v>#NUM!</v>
      </c>
    </row>
    <row r="352" spans="2:17">
      <c r="B352" s="45">
        <f>'Ипотечный калькулятор'!$C$21</f>
        <v>0.29000000000000004</v>
      </c>
      <c r="C352" s="47">
        <v>340</v>
      </c>
      <c r="D352" s="48" t="e">
        <f>PPMT($B352/12,1,$C$5-C352+1,$B$5+SUM($D$13:D351),0)</f>
        <v>#NUM!</v>
      </c>
      <c r="E352" s="48">
        <f>IFERROR(-($B$5+SUM($D$13:$D351))*$B352/12,0)</f>
        <v>0</v>
      </c>
      <c r="F352" s="48" t="e">
        <f t="shared" si="20"/>
        <v>#NUM!</v>
      </c>
      <c r="G352" s="48" t="e">
        <f>($B$5+SUM($D$13:$D352))</f>
        <v>#NUM!</v>
      </c>
      <c r="K352" s="45">
        <f t="shared" si="21"/>
        <v>3.7999999999999999E-2</v>
      </c>
      <c r="L352" s="47">
        <v>340</v>
      </c>
      <c r="M352" s="5">
        <f t="shared" si="22"/>
        <v>0</v>
      </c>
      <c r="N352" s="48" t="e">
        <f>PPMT($K352/12,1,$C$5-L352+1,$B$5+SUM($N$13:N351),0)</f>
        <v>#NUM!</v>
      </c>
      <c r="O352" s="48" t="e">
        <f>-($B$5+SUM($N$13:$N351))*$K352/12</f>
        <v>#NUM!</v>
      </c>
      <c r="P352" s="48" t="e">
        <f t="shared" si="23"/>
        <v>#NUM!</v>
      </c>
      <c r="Q352" s="48" t="e">
        <f>($B$5+SUM($D$13:$D352))</f>
        <v>#NUM!</v>
      </c>
    </row>
    <row r="353" spans="2:17">
      <c r="B353" s="45">
        <f>'Ипотечный калькулятор'!$C$21</f>
        <v>0.29000000000000004</v>
      </c>
      <c r="C353" s="47">
        <v>341</v>
      </c>
      <c r="D353" s="48" t="e">
        <f>PPMT($B353/12,1,$C$5-C353+1,$B$5+SUM($D$13:D352),0)</f>
        <v>#NUM!</v>
      </c>
      <c r="E353" s="48">
        <f>IFERROR(-($B$5+SUM($D$13:$D352))*$B353/12,0)</f>
        <v>0</v>
      </c>
      <c r="F353" s="48" t="e">
        <f t="shared" si="20"/>
        <v>#NUM!</v>
      </c>
      <c r="G353" s="48" t="e">
        <f>($B$5+SUM($D$13:$D353))</f>
        <v>#NUM!</v>
      </c>
      <c r="K353" s="45">
        <f t="shared" si="21"/>
        <v>3.7999999999999999E-2</v>
      </c>
      <c r="L353" s="46">
        <v>341</v>
      </c>
      <c r="M353" s="5">
        <f t="shared" si="22"/>
        <v>0</v>
      </c>
      <c r="N353" s="48" t="e">
        <f>PPMT($K353/12,1,$C$5-L353+1,$B$5+SUM($N$13:N352),0)</f>
        <v>#NUM!</v>
      </c>
      <c r="O353" s="48" t="e">
        <f>-($B$5+SUM($N$13:$N352))*$K353/12</f>
        <v>#NUM!</v>
      </c>
      <c r="P353" s="48" t="e">
        <f t="shared" si="23"/>
        <v>#NUM!</v>
      </c>
      <c r="Q353" s="48" t="e">
        <f>($B$5+SUM($D$13:$D353))</f>
        <v>#NUM!</v>
      </c>
    </row>
    <row r="354" spans="2:17">
      <c r="B354" s="45">
        <f>'Ипотечный калькулятор'!$C$21</f>
        <v>0.29000000000000004</v>
      </c>
      <c r="C354" s="47">
        <v>342</v>
      </c>
      <c r="D354" s="48" t="e">
        <f>PPMT($B354/12,1,$C$5-C354+1,$B$5+SUM($D$13:D353),0)</f>
        <v>#NUM!</v>
      </c>
      <c r="E354" s="48">
        <f>IFERROR(-($B$5+SUM($D$13:$D353))*$B354/12,0)</f>
        <v>0</v>
      </c>
      <c r="F354" s="48" t="e">
        <f t="shared" si="20"/>
        <v>#NUM!</v>
      </c>
      <c r="G354" s="48" t="e">
        <f>($B$5+SUM($D$13:$D354))</f>
        <v>#NUM!</v>
      </c>
      <c r="K354" s="45">
        <f t="shared" si="21"/>
        <v>3.7999999999999999E-2</v>
      </c>
      <c r="L354" s="47">
        <v>342</v>
      </c>
      <c r="M354" s="5">
        <f t="shared" si="22"/>
        <v>0</v>
      </c>
      <c r="N354" s="48" t="e">
        <f>PPMT($K354/12,1,$C$5-L354+1,$B$5+SUM($N$13:N353),0)</f>
        <v>#NUM!</v>
      </c>
      <c r="O354" s="48" t="e">
        <f>-($B$5+SUM($N$13:$N353))*$K354/12</f>
        <v>#NUM!</v>
      </c>
      <c r="P354" s="48" t="e">
        <f t="shared" si="23"/>
        <v>#NUM!</v>
      </c>
      <c r="Q354" s="48" t="e">
        <f>($B$5+SUM($D$13:$D354))</f>
        <v>#NUM!</v>
      </c>
    </row>
    <row r="355" spans="2:17">
      <c r="B355" s="45">
        <f>'Ипотечный калькулятор'!$C$21</f>
        <v>0.29000000000000004</v>
      </c>
      <c r="C355" s="47">
        <v>343</v>
      </c>
      <c r="D355" s="48" t="e">
        <f>PPMT($B355/12,1,$C$5-C355+1,$B$5+SUM($D$13:D354),0)</f>
        <v>#NUM!</v>
      </c>
      <c r="E355" s="48">
        <f>IFERROR(-($B$5+SUM($D$13:$D354))*$B355/12,0)</f>
        <v>0</v>
      </c>
      <c r="F355" s="48" t="e">
        <f t="shared" si="20"/>
        <v>#NUM!</v>
      </c>
      <c r="G355" s="48" t="e">
        <f>($B$5+SUM($D$13:$D355))</f>
        <v>#NUM!</v>
      </c>
      <c r="K355" s="45">
        <f t="shared" si="21"/>
        <v>3.7999999999999999E-2</v>
      </c>
      <c r="L355" s="46">
        <v>343</v>
      </c>
      <c r="M355" s="5">
        <f t="shared" si="22"/>
        <v>0</v>
      </c>
      <c r="N355" s="48" t="e">
        <f>PPMT($K355/12,1,$C$5-L355+1,$B$5+SUM($N$13:N354),0)</f>
        <v>#NUM!</v>
      </c>
      <c r="O355" s="48" t="e">
        <f>-($B$5+SUM($N$13:$N354))*$K355/12</f>
        <v>#NUM!</v>
      </c>
      <c r="P355" s="48" t="e">
        <f t="shared" si="23"/>
        <v>#NUM!</v>
      </c>
      <c r="Q355" s="48" t="e">
        <f>($B$5+SUM($D$13:$D355))</f>
        <v>#NUM!</v>
      </c>
    </row>
    <row r="356" spans="2:17">
      <c r="B356" s="45">
        <f>'Ипотечный калькулятор'!$C$21</f>
        <v>0.29000000000000004</v>
      </c>
      <c r="C356" s="47">
        <v>344</v>
      </c>
      <c r="D356" s="48" t="e">
        <f>PPMT($B356/12,1,$C$5-C356+1,$B$5+SUM($D$13:D355),0)</f>
        <v>#NUM!</v>
      </c>
      <c r="E356" s="48">
        <f>IFERROR(-($B$5+SUM($D$13:$D355))*$B356/12,0)</f>
        <v>0</v>
      </c>
      <c r="F356" s="48" t="e">
        <f t="shared" si="20"/>
        <v>#NUM!</v>
      </c>
      <c r="G356" s="48" t="e">
        <f>($B$5+SUM($D$13:$D356))</f>
        <v>#NUM!</v>
      </c>
      <c r="K356" s="45">
        <f t="shared" si="21"/>
        <v>3.7999999999999999E-2</v>
      </c>
      <c r="L356" s="47">
        <v>344</v>
      </c>
      <c r="M356" s="5">
        <f t="shared" si="22"/>
        <v>0</v>
      </c>
      <c r="N356" s="48" t="e">
        <f>PPMT($K356/12,1,$C$5-L356+1,$B$5+SUM($N$13:N355),0)</f>
        <v>#NUM!</v>
      </c>
      <c r="O356" s="48" t="e">
        <f>-($B$5+SUM($N$13:$N355))*$K356/12</f>
        <v>#NUM!</v>
      </c>
      <c r="P356" s="48" t="e">
        <f t="shared" si="23"/>
        <v>#NUM!</v>
      </c>
      <c r="Q356" s="48" t="e">
        <f>($B$5+SUM($D$13:$D356))</f>
        <v>#NUM!</v>
      </c>
    </row>
    <row r="357" spans="2:17">
      <c r="B357" s="45">
        <f>'Ипотечный калькулятор'!$C$21</f>
        <v>0.29000000000000004</v>
      </c>
      <c r="C357" s="47">
        <v>345</v>
      </c>
      <c r="D357" s="48" t="e">
        <f>PPMT($B357/12,1,$C$5-C357+1,$B$5+SUM($D$13:D356),0)</f>
        <v>#NUM!</v>
      </c>
      <c r="E357" s="48">
        <f>IFERROR(-($B$5+SUM($D$13:$D356))*$B357/12,0)</f>
        <v>0</v>
      </c>
      <c r="F357" s="48" t="e">
        <f t="shared" si="20"/>
        <v>#NUM!</v>
      </c>
      <c r="G357" s="48" t="e">
        <f>($B$5+SUM($D$13:$D357))</f>
        <v>#NUM!</v>
      </c>
      <c r="K357" s="45">
        <f t="shared" si="21"/>
        <v>3.7999999999999999E-2</v>
      </c>
      <c r="L357" s="46">
        <v>345</v>
      </c>
      <c r="M357" s="5">
        <f t="shared" si="22"/>
        <v>0</v>
      </c>
      <c r="N357" s="48" t="e">
        <f>PPMT($K357/12,1,$C$5-L357+1,$B$5+SUM($N$13:N356),0)</f>
        <v>#NUM!</v>
      </c>
      <c r="O357" s="48" t="e">
        <f>-($B$5+SUM($N$13:$N356))*$K357/12</f>
        <v>#NUM!</v>
      </c>
      <c r="P357" s="48" t="e">
        <f t="shared" si="23"/>
        <v>#NUM!</v>
      </c>
      <c r="Q357" s="48" t="e">
        <f>($B$5+SUM($D$13:$D357))</f>
        <v>#NUM!</v>
      </c>
    </row>
    <row r="358" spans="2:17">
      <c r="B358" s="45">
        <f>'Ипотечный калькулятор'!$C$21</f>
        <v>0.29000000000000004</v>
      </c>
      <c r="C358" s="47">
        <v>346</v>
      </c>
      <c r="D358" s="48" t="e">
        <f>PPMT($B358/12,1,$C$5-C358+1,$B$5+SUM($D$13:D357),0)</f>
        <v>#NUM!</v>
      </c>
      <c r="E358" s="48">
        <f>IFERROR(-($B$5+SUM($D$13:$D357))*$B358/12,0)</f>
        <v>0</v>
      </c>
      <c r="F358" s="48" t="e">
        <f t="shared" si="20"/>
        <v>#NUM!</v>
      </c>
      <c r="G358" s="48" t="e">
        <f>($B$5+SUM($D$13:$D358))</f>
        <v>#NUM!</v>
      </c>
      <c r="K358" s="45">
        <f t="shared" si="21"/>
        <v>3.7999999999999999E-2</v>
      </c>
      <c r="L358" s="47">
        <v>346</v>
      </c>
      <c r="M358" s="5">
        <f t="shared" si="22"/>
        <v>0</v>
      </c>
      <c r="N358" s="48" t="e">
        <f>PPMT($K358/12,1,$C$5-L358+1,$B$5+SUM($N$13:N357),0)</f>
        <v>#NUM!</v>
      </c>
      <c r="O358" s="48" t="e">
        <f>-($B$5+SUM($N$13:$N357))*$K358/12</f>
        <v>#NUM!</v>
      </c>
      <c r="P358" s="48" t="e">
        <f t="shared" si="23"/>
        <v>#NUM!</v>
      </c>
      <c r="Q358" s="48" t="e">
        <f>($B$5+SUM($D$13:$D358))</f>
        <v>#NUM!</v>
      </c>
    </row>
    <row r="359" spans="2:17">
      <c r="B359" s="45">
        <f>'Ипотечный калькулятор'!$C$21</f>
        <v>0.29000000000000004</v>
      </c>
      <c r="C359" s="47">
        <v>347</v>
      </c>
      <c r="D359" s="48" t="e">
        <f>PPMT($B359/12,1,$C$5-C359+1,$B$5+SUM($D$13:D358),0)</f>
        <v>#NUM!</v>
      </c>
      <c r="E359" s="48">
        <f>IFERROR(-($B$5+SUM($D$13:$D358))*$B359/12,0)</f>
        <v>0</v>
      </c>
      <c r="F359" s="48" t="e">
        <f t="shared" si="20"/>
        <v>#NUM!</v>
      </c>
      <c r="G359" s="48" t="e">
        <f>($B$5+SUM($D$13:$D359))</f>
        <v>#NUM!</v>
      </c>
      <c r="K359" s="45">
        <f t="shared" si="21"/>
        <v>3.7999999999999999E-2</v>
      </c>
      <c r="L359" s="46">
        <v>347</v>
      </c>
      <c r="M359" s="5">
        <f t="shared" si="22"/>
        <v>0</v>
      </c>
      <c r="N359" s="48" t="e">
        <f>PPMT($K359/12,1,$C$5-L359+1,$B$5+SUM($N$13:N358),0)</f>
        <v>#NUM!</v>
      </c>
      <c r="O359" s="48" t="e">
        <f>-($B$5+SUM($N$13:$N358))*$K359/12</f>
        <v>#NUM!</v>
      </c>
      <c r="P359" s="48" t="e">
        <f t="shared" si="23"/>
        <v>#NUM!</v>
      </c>
      <c r="Q359" s="48" t="e">
        <f>($B$5+SUM($D$13:$D359))</f>
        <v>#NUM!</v>
      </c>
    </row>
    <row r="360" spans="2:17">
      <c r="B360" s="45">
        <f>'Ипотечный калькулятор'!$C$21</f>
        <v>0.29000000000000004</v>
      </c>
      <c r="C360" s="47">
        <v>348</v>
      </c>
      <c r="D360" s="48" t="e">
        <f>PPMT($B360/12,1,$C$5-C360+1,$B$5+SUM($D$13:D359),0)</f>
        <v>#NUM!</v>
      </c>
      <c r="E360" s="48">
        <f>IFERROR(-($B$5+SUM($D$13:$D359))*$B360/12,0)</f>
        <v>0</v>
      </c>
      <c r="F360" s="48" t="e">
        <f t="shared" si="20"/>
        <v>#NUM!</v>
      </c>
      <c r="G360" s="48" t="e">
        <f>($B$5+SUM($D$13:$D360))</f>
        <v>#NUM!</v>
      </c>
      <c r="K360" s="45">
        <f t="shared" si="21"/>
        <v>3.7999999999999999E-2</v>
      </c>
      <c r="L360" s="47">
        <v>348</v>
      </c>
      <c r="M360" s="5">
        <f t="shared" si="22"/>
        <v>0</v>
      </c>
      <c r="N360" s="48" t="e">
        <f>PPMT($K360/12,1,$C$5-L360+1,$B$5+SUM($N$13:N359),0)</f>
        <v>#NUM!</v>
      </c>
      <c r="O360" s="48" t="e">
        <f>-($B$5+SUM($N$13:$N359))*$K360/12</f>
        <v>#NUM!</v>
      </c>
      <c r="P360" s="48" t="e">
        <f t="shared" si="23"/>
        <v>#NUM!</v>
      </c>
      <c r="Q360" s="48" t="e">
        <f>($B$5+SUM($D$13:$D360))</f>
        <v>#NUM!</v>
      </c>
    </row>
    <row r="361" spans="2:17">
      <c r="B361" s="45">
        <f>'Ипотечный калькулятор'!$C$21</f>
        <v>0.29000000000000004</v>
      </c>
      <c r="C361" s="47">
        <v>349</v>
      </c>
      <c r="D361" s="48" t="e">
        <f>PPMT($B361/12,1,$C$5-C361+1,$B$5+SUM($D$13:D360),0)</f>
        <v>#NUM!</v>
      </c>
      <c r="E361" s="48">
        <f>IFERROR(-($B$5+SUM($D$13:$D360))*$B361/12,0)</f>
        <v>0</v>
      </c>
      <c r="F361" s="48" t="e">
        <f t="shared" si="20"/>
        <v>#NUM!</v>
      </c>
      <c r="G361" s="48" t="e">
        <f>($B$5+SUM($D$13:$D361))</f>
        <v>#NUM!</v>
      </c>
      <c r="K361" s="45">
        <f t="shared" si="21"/>
        <v>3.7999999999999999E-2</v>
      </c>
      <c r="L361" s="46">
        <v>349</v>
      </c>
      <c r="M361" s="5">
        <f t="shared" si="22"/>
        <v>0</v>
      </c>
      <c r="N361" s="48" t="e">
        <f>PPMT($K361/12,1,$C$5-L361+1,$B$5+SUM($N$13:N360),0)</f>
        <v>#NUM!</v>
      </c>
      <c r="O361" s="48" t="e">
        <f>-($B$5+SUM($N$13:$N360))*$K361/12</f>
        <v>#NUM!</v>
      </c>
      <c r="P361" s="48" t="e">
        <f t="shared" si="23"/>
        <v>#NUM!</v>
      </c>
      <c r="Q361" s="48" t="e">
        <f>($B$5+SUM($D$13:$D361))</f>
        <v>#NUM!</v>
      </c>
    </row>
    <row r="362" spans="2:17">
      <c r="B362" s="45">
        <f>'Ипотечный калькулятор'!$C$21</f>
        <v>0.29000000000000004</v>
      </c>
      <c r="C362" s="47">
        <v>350</v>
      </c>
      <c r="D362" s="48" t="e">
        <f>PPMT($B362/12,1,$C$5-C362+1,$B$5+SUM($D$13:D361),0)</f>
        <v>#NUM!</v>
      </c>
      <c r="E362" s="48">
        <f>IFERROR(-($B$5+SUM($D$13:$D361))*$B362/12,0)</f>
        <v>0</v>
      </c>
      <c r="F362" s="48" t="e">
        <f t="shared" si="20"/>
        <v>#NUM!</v>
      </c>
      <c r="G362" s="48" t="e">
        <f>($B$5+SUM($D$13:$D362))</f>
        <v>#NUM!</v>
      </c>
      <c r="K362" s="45">
        <f t="shared" si="21"/>
        <v>3.7999999999999999E-2</v>
      </c>
      <c r="L362" s="47">
        <v>350</v>
      </c>
      <c r="M362" s="5">
        <f t="shared" si="22"/>
        <v>0</v>
      </c>
      <c r="N362" s="48" t="e">
        <f>PPMT($K362/12,1,$C$5-L362+1,$B$5+SUM($N$13:N361),0)</f>
        <v>#NUM!</v>
      </c>
      <c r="O362" s="48" t="e">
        <f>-($B$5+SUM($N$13:$N361))*$K362/12</f>
        <v>#NUM!</v>
      </c>
      <c r="P362" s="48" t="e">
        <f t="shared" si="23"/>
        <v>#NUM!</v>
      </c>
      <c r="Q362" s="48" t="e">
        <f>($B$5+SUM($D$13:$D362))</f>
        <v>#NUM!</v>
      </c>
    </row>
    <row r="363" spans="2:17">
      <c r="B363" s="45">
        <f>'Ипотечный калькулятор'!$C$21</f>
        <v>0.29000000000000004</v>
      </c>
      <c r="C363" s="47">
        <v>351</v>
      </c>
      <c r="D363" s="48" t="e">
        <f>PPMT($B363/12,1,$C$5-C363+1,$B$5+SUM($D$13:D362),0)</f>
        <v>#NUM!</v>
      </c>
      <c r="E363" s="48">
        <f>IFERROR(-($B$5+SUM($D$13:$D362))*$B363/12,0)</f>
        <v>0</v>
      </c>
      <c r="F363" s="48" t="e">
        <f t="shared" si="20"/>
        <v>#NUM!</v>
      </c>
      <c r="G363" s="48" t="e">
        <f>($B$5+SUM($D$13:$D363))</f>
        <v>#NUM!</v>
      </c>
      <c r="K363" s="45">
        <f t="shared" si="21"/>
        <v>3.7999999999999999E-2</v>
      </c>
      <c r="L363" s="46">
        <v>351</v>
      </c>
      <c r="M363" s="5">
        <f t="shared" si="22"/>
        <v>0</v>
      </c>
      <c r="N363" s="48" t="e">
        <f>PPMT($K363/12,1,$C$5-L363+1,$B$5+SUM($N$13:N362),0)</f>
        <v>#NUM!</v>
      </c>
      <c r="O363" s="48" t="e">
        <f>-($B$5+SUM($N$13:$N362))*$K363/12</f>
        <v>#NUM!</v>
      </c>
      <c r="P363" s="48" t="e">
        <f t="shared" si="23"/>
        <v>#NUM!</v>
      </c>
      <c r="Q363" s="48" t="e">
        <f>($B$5+SUM($D$13:$D363))</f>
        <v>#NUM!</v>
      </c>
    </row>
    <row r="364" spans="2:17">
      <c r="B364" s="45">
        <f>'Ипотечный калькулятор'!$C$21</f>
        <v>0.29000000000000004</v>
      </c>
      <c r="C364" s="47">
        <v>352</v>
      </c>
      <c r="D364" s="48" t="e">
        <f>PPMT($B364/12,1,$C$5-C364+1,$B$5+SUM($D$13:D363),0)</f>
        <v>#NUM!</v>
      </c>
      <c r="E364" s="48">
        <f>IFERROR(-($B$5+SUM($D$13:$D363))*$B364/12,0)</f>
        <v>0</v>
      </c>
      <c r="F364" s="48" t="e">
        <f t="shared" si="20"/>
        <v>#NUM!</v>
      </c>
      <c r="G364" s="48" t="e">
        <f>($B$5+SUM($D$13:$D364))</f>
        <v>#NUM!</v>
      </c>
      <c r="K364" s="45">
        <f t="shared" si="21"/>
        <v>3.7999999999999999E-2</v>
      </c>
      <c r="L364" s="47">
        <v>352</v>
      </c>
      <c r="M364" s="5">
        <f t="shared" si="22"/>
        <v>0</v>
      </c>
      <c r="N364" s="48" t="e">
        <f>PPMT($K364/12,1,$C$5-L364+1,$B$5+SUM($N$13:N363),0)</f>
        <v>#NUM!</v>
      </c>
      <c r="O364" s="48" t="e">
        <f>-($B$5+SUM($N$13:$N363))*$K364/12</f>
        <v>#NUM!</v>
      </c>
      <c r="P364" s="48" t="e">
        <f t="shared" si="23"/>
        <v>#NUM!</v>
      </c>
      <c r="Q364" s="48" t="e">
        <f>($B$5+SUM($D$13:$D364))</f>
        <v>#NUM!</v>
      </c>
    </row>
    <row r="365" spans="2:17">
      <c r="B365" s="45">
        <f>'Ипотечный калькулятор'!$C$21</f>
        <v>0.29000000000000004</v>
      </c>
      <c r="C365" s="47">
        <v>353</v>
      </c>
      <c r="D365" s="48" t="e">
        <f>PPMT($B365/12,1,$C$5-C365+1,$B$5+SUM($D$13:D364),0)</f>
        <v>#NUM!</v>
      </c>
      <c r="E365" s="48">
        <f>IFERROR(-($B$5+SUM($D$13:$D364))*$B365/12,0)</f>
        <v>0</v>
      </c>
      <c r="F365" s="48" t="e">
        <f t="shared" si="20"/>
        <v>#NUM!</v>
      </c>
      <c r="G365" s="48" t="e">
        <f>($B$5+SUM($D$13:$D365))</f>
        <v>#NUM!</v>
      </c>
      <c r="K365" s="45">
        <f t="shared" si="21"/>
        <v>3.7999999999999999E-2</v>
      </c>
      <c r="L365" s="46">
        <v>353</v>
      </c>
      <c r="M365" s="5">
        <f t="shared" si="22"/>
        <v>0</v>
      </c>
      <c r="N365" s="48" t="e">
        <f>PPMT($K365/12,1,$C$5-L365+1,$B$5+SUM($N$13:N364),0)</f>
        <v>#NUM!</v>
      </c>
      <c r="O365" s="48" t="e">
        <f>-($B$5+SUM($N$13:$N364))*$K365/12</f>
        <v>#NUM!</v>
      </c>
      <c r="P365" s="48" t="e">
        <f t="shared" si="23"/>
        <v>#NUM!</v>
      </c>
      <c r="Q365" s="48" t="e">
        <f>($B$5+SUM($D$13:$D365))</f>
        <v>#NUM!</v>
      </c>
    </row>
    <row r="366" spans="2:17">
      <c r="B366" s="45">
        <f>'Ипотечный калькулятор'!$C$21</f>
        <v>0.29000000000000004</v>
      </c>
      <c r="C366" s="47">
        <v>354</v>
      </c>
      <c r="D366" s="48" t="e">
        <f>PPMT($B366/12,1,$C$5-C366+1,$B$5+SUM($D$13:D365),0)</f>
        <v>#NUM!</v>
      </c>
      <c r="E366" s="48">
        <f>IFERROR(-($B$5+SUM($D$13:$D365))*$B366/12,0)</f>
        <v>0</v>
      </c>
      <c r="F366" s="48" t="e">
        <f t="shared" si="20"/>
        <v>#NUM!</v>
      </c>
      <c r="G366" s="48" t="e">
        <f>($B$5+SUM($D$13:$D366))</f>
        <v>#NUM!</v>
      </c>
      <c r="K366" s="45">
        <f t="shared" si="21"/>
        <v>3.7999999999999999E-2</v>
      </c>
      <c r="L366" s="47">
        <v>354</v>
      </c>
      <c r="M366" s="5">
        <f t="shared" si="22"/>
        <v>0</v>
      </c>
      <c r="N366" s="48" t="e">
        <f>PPMT($K366/12,1,$C$5-L366+1,$B$5+SUM($N$13:N365),0)</f>
        <v>#NUM!</v>
      </c>
      <c r="O366" s="48" t="e">
        <f>-($B$5+SUM($N$13:$N365))*$K366/12</f>
        <v>#NUM!</v>
      </c>
      <c r="P366" s="48" t="e">
        <f t="shared" si="23"/>
        <v>#NUM!</v>
      </c>
      <c r="Q366" s="48" t="e">
        <f>($B$5+SUM($D$13:$D366))</f>
        <v>#NUM!</v>
      </c>
    </row>
    <row r="367" spans="2:17">
      <c r="B367" s="45">
        <f>'Ипотечный калькулятор'!$C$21</f>
        <v>0.29000000000000004</v>
      </c>
      <c r="C367" s="47">
        <v>355</v>
      </c>
      <c r="D367" s="48" t="e">
        <f>PPMT($B367/12,1,$C$5-C367+1,$B$5+SUM($D$13:D366),0)</f>
        <v>#NUM!</v>
      </c>
      <c r="E367" s="48">
        <f>IFERROR(-($B$5+SUM($D$13:$D366))*$B367/12,0)</f>
        <v>0</v>
      </c>
      <c r="F367" s="48" t="e">
        <f t="shared" si="20"/>
        <v>#NUM!</v>
      </c>
      <c r="G367" s="48" t="e">
        <f>($B$5+SUM($D$13:$D367))</f>
        <v>#NUM!</v>
      </c>
      <c r="K367" s="45">
        <f t="shared" si="21"/>
        <v>3.7999999999999999E-2</v>
      </c>
      <c r="L367" s="46">
        <v>355</v>
      </c>
      <c r="M367" s="5">
        <f t="shared" si="22"/>
        <v>0</v>
      </c>
      <c r="N367" s="48" t="e">
        <f>PPMT($K367/12,1,$C$5-L367+1,$B$5+SUM($N$13:N366),0)</f>
        <v>#NUM!</v>
      </c>
      <c r="O367" s="48" t="e">
        <f>-($B$5+SUM($N$13:$N366))*$K367/12</f>
        <v>#NUM!</v>
      </c>
      <c r="P367" s="48" t="e">
        <f t="shared" si="23"/>
        <v>#NUM!</v>
      </c>
      <c r="Q367" s="48" t="e">
        <f>($B$5+SUM($D$13:$D367))</f>
        <v>#NUM!</v>
      </c>
    </row>
    <row r="368" spans="2:17">
      <c r="B368" s="45">
        <f>'Ипотечный калькулятор'!$C$21</f>
        <v>0.29000000000000004</v>
      </c>
      <c r="C368" s="47">
        <v>356</v>
      </c>
      <c r="D368" s="48" t="e">
        <f>PPMT($B368/12,1,$C$5-C368+1,$B$5+SUM($D$13:D367),0)</f>
        <v>#NUM!</v>
      </c>
      <c r="E368" s="48">
        <f>IFERROR(-($B$5+SUM($D$13:$D367))*$B368/12,0)</f>
        <v>0</v>
      </c>
      <c r="F368" s="48" t="e">
        <f t="shared" si="20"/>
        <v>#NUM!</v>
      </c>
      <c r="G368" s="48" t="e">
        <f>($B$5+SUM($D$13:$D368))</f>
        <v>#NUM!</v>
      </c>
      <c r="K368" s="45">
        <f t="shared" si="21"/>
        <v>3.7999999999999999E-2</v>
      </c>
      <c r="L368" s="47">
        <v>356</v>
      </c>
      <c r="M368" s="5">
        <f t="shared" si="22"/>
        <v>0</v>
      </c>
      <c r="N368" s="48" t="e">
        <f>PPMT($K368/12,1,$C$5-L368+1,$B$5+SUM($N$13:N367),0)</f>
        <v>#NUM!</v>
      </c>
      <c r="O368" s="48" t="e">
        <f>-($B$5+SUM($N$13:$N367))*$K368/12</f>
        <v>#NUM!</v>
      </c>
      <c r="P368" s="48" t="e">
        <f t="shared" si="23"/>
        <v>#NUM!</v>
      </c>
      <c r="Q368" s="48" t="e">
        <f>($B$5+SUM($D$13:$D368))</f>
        <v>#NUM!</v>
      </c>
    </row>
    <row r="369" spans="2:17">
      <c r="B369" s="45">
        <f>'Ипотечный калькулятор'!$C$21</f>
        <v>0.29000000000000004</v>
      </c>
      <c r="C369" s="47">
        <v>357</v>
      </c>
      <c r="D369" s="48" t="e">
        <f>PPMT($B369/12,1,$C$5-C369+1,$B$5+SUM($D$13:D368),0)</f>
        <v>#NUM!</v>
      </c>
      <c r="E369" s="48">
        <f>IFERROR(-($B$5+SUM($D$13:$D368))*$B369/12,0)</f>
        <v>0</v>
      </c>
      <c r="F369" s="48" t="e">
        <f t="shared" si="20"/>
        <v>#NUM!</v>
      </c>
      <c r="G369" s="48" t="e">
        <f>($B$5+SUM($D$13:$D369))</f>
        <v>#NUM!</v>
      </c>
      <c r="K369" s="45">
        <f t="shared" si="21"/>
        <v>3.7999999999999999E-2</v>
      </c>
      <c r="L369" s="46">
        <v>357</v>
      </c>
      <c r="M369" s="5">
        <f t="shared" si="22"/>
        <v>0</v>
      </c>
      <c r="N369" s="48" t="e">
        <f>PPMT($K369/12,1,$C$5-L369+1,$B$5+SUM($N$13:N368),0)</f>
        <v>#NUM!</v>
      </c>
      <c r="O369" s="48" t="e">
        <f>-($B$5+SUM($N$13:$N368))*$K369/12</f>
        <v>#NUM!</v>
      </c>
      <c r="P369" s="48" t="e">
        <f t="shared" si="23"/>
        <v>#NUM!</v>
      </c>
      <c r="Q369" s="48" t="e">
        <f>($B$5+SUM($D$13:$D369))</f>
        <v>#NUM!</v>
      </c>
    </row>
    <row r="370" spans="2:17">
      <c r="B370" s="45">
        <f>'Ипотечный калькулятор'!$C$21</f>
        <v>0.29000000000000004</v>
      </c>
      <c r="C370" s="47">
        <v>358</v>
      </c>
      <c r="D370" s="48" t="e">
        <f>PPMT($B370/12,1,$C$5-C370+1,$B$5+SUM($D$13:D369),0)</f>
        <v>#NUM!</v>
      </c>
      <c r="E370" s="48">
        <f>IFERROR(-($B$5+SUM($D$13:$D369))*$B370/12,0)</f>
        <v>0</v>
      </c>
      <c r="F370" s="48" t="e">
        <f t="shared" si="20"/>
        <v>#NUM!</v>
      </c>
      <c r="G370" s="48" t="e">
        <f>($B$5+SUM($D$13:$D370))</f>
        <v>#NUM!</v>
      </c>
      <c r="K370" s="45">
        <f t="shared" si="21"/>
        <v>3.7999999999999999E-2</v>
      </c>
      <c r="L370" s="47">
        <v>358</v>
      </c>
      <c r="M370" s="5">
        <f t="shared" si="22"/>
        <v>0</v>
      </c>
      <c r="N370" s="48" t="e">
        <f>PPMT($K370/12,1,$C$5-L370+1,$B$5+SUM($N$13:N369),0)</f>
        <v>#NUM!</v>
      </c>
      <c r="O370" s="48" t="e">
        <f>-($B$5+SUM($N$13:$N369))*$K370/12</f>
        <v>#NUM!</v>
      </c>
      <c r="P370" s="48" t="e">
        <f t="shared" si="23"/>
        <v>#NUM!</v>
      </c>
      <c r="Q370" s="48" t="e">
        <f>($B$5+SUM($D$13:$D370))</f>
        <v>#NUM!</v>
      </c>
    </row>
    <row r="371" spans="2:17">
      <c r="B371" s="45">
        <f>'Ипотечный калькулятор'!$C$21</f>
        <v>0.29000000000000004</v>
      </c>
      <c r="C371" s="47">
        <v>359</v>
      </c>
      <c r="D371" s="48" t="e">
        <f>PPMT($B371/12,1,$C$5-C371+1,$B$5+SUM($D$13:D370),0)</f>
        <v>#NUM!</v>
      </c>
      <c r="E371" s="48">
        <f>IFERROR(-($B$5+SUM($D$13:$D370))*$B371/12,0)</f>
        <v>0</v>
      </c>
      <c r="F371" s="48" t="e">
        <f t="shared" si="20"/>
        <v>#NUM!</v>
      </c>
      <c r="G371" s="48" t="e">
        <f>($B$5+SUM($D$13:$D371))</f>
        <v>#NUM!</v>
      </c>
      <c r="K371" s="45">
        <f t="shared" si="21"/>
        <v>3.7999999999999999E-2</v>
      </c>
      <c r="L371" s="46">
        <v>359</v>
      </c>
      <c r="M371" s="5">
        <f t="shared" si="22"/>
        <v>0</v>
      </c>
      <c r="N371" s="48" t="e">
        <f>PPMT($K371/12,1,$C$5-L371+1,$B$5+SUM($N$13:N370),0)</f>
        <v>#NUM!</v>
      </c>
      <c r="O371" s="48" t="e">
        <f>-($B$5+SUM($N$13:$N370))*$K371/12</f>
        <v>#NUM!</v>
      </c>
      <c r="P371" s="48" t="e">
        <f t="shared" si="23"/>
        <v>#NUM!</v>
      </c>
      <c r="Q371" s="48" t="e">
        <f>($B$5+SUM($D$13:$D371))</f>
        <v>#NUM!</v>
      </c>
    </row>
    <row r="372" spans="2:17">
      <c r="B372" s="45">
        <f>'Ипотечный калькулятор'!$C$21</f>
        <v>0.29000000000000004</v>
      </c>
      <c r="C372" s="47">
        <v>360</v>
      </c>
      <c r="D372" s="48" t="e">
        <f>PPMT($B372/12,1,$C$5-C372+1,$B$5+SUM($D$13:D371),0)</f>
        <v>#NUM!</v>
      </c>
      <c r="E372" s="48">
        <f>IFERROR(-($B$5+SUM($D$13:$D371))*$B372/12,0)</f>
        <v>0</v>
      </c>
      <c r="F372" s="48" t="e">
        <f t="shared" si="20"/>
        <v>#NUM!</v>
      </c>
      <c r="G372" s="48" t="e">
        <f>($B$5+SUM($D$13:$D372))</f>
        <v>#NUM!</v>
      </c>
      <c r="K372" s="45">
        <f t="shared" si="21"/>
        <v>3.7999999999999999E-2</v>
      </c>
      <c r="L372" s="47">
        <v>360</v>
      </c>
      <c r="M372" s="5">
        <f t="shared" si="22"/>
        <v>0</v>
      </c>
      <c r="N372" s="48" t="e">
        <f>PPMT($K372/12,1,$C$5-L372+1,$B$5+SUM($N$13:N371),0)</f>
        <v>#NUM!</v>
      </c>
      <c r="O372" s="48" t="e">
        <f>-($B$5+SUM($N$13:$N371))*$K372/12</f>
        <v>#NUM!</v>
      </c>
      <c r="P372" s="48" t="e">
        <f t="shared" si="23"/>
        <v>#NUM!</v>
      </c>
      <c r="Q372" s="48" t="e">
        <f>($B$5+SUM($D$13:$D372))</f>
        <v>#NUM!</v>
      </c>
    </row>
    <row r="373" spans="2:17">
      <c r="B373" s="45">
        <f>'Ипотечный калькулятор'!$C$21</f>
        <v>0.29000000000000004</v>
      </c>
      <c r="C373" s="47">
        <v>361</v>
      </c>
      <c r="D373" s="48" t="e">
        <f>PPMT($B373/12,1,$C$5-C373+1,$B$5+SUM($D$13:D372),0)</f>
        <v>#NUM!</v>
      </c>
      <c r="E373" s="48">
        <f>IFERROR(-($B$5+SUM($D$13:$D372))*$B373/12,0)</f>
        <v>0</v>
      </c>
      <c r="F373" s="48" t="e">
        <f t="shared" si="20"/>
        <v>#NUM!</v>
      </c>
      <c r="G373" s="48" t="e">
        <f>($B$5+SUM($D$13:$D373))</f>
        <v>#NUM!</v>
      </c>
      <c r="K373" s="45">
        <f t="shared" si="21"/>
        <v>3.7999999999999999E-2</v>
      </c>
      <c r="L373" s="46">
        <v>361</v>
      </c>
      <c r="M373" s="5">
        <f t="shared" si="22"/>
        <v>0</v>
      </c>
      <c r="N373" s="48" t="e">
        <f>PPMT($K373/12,1,$C$5-L373+1,$B$5+SUM($N$13:N372),0)</f>
        <v>#NUM!</v>
      </c>
      <c r="O373" s="48" t="e">
        <f>-($B$5+SUM($N$13:$N372))*$K373/12</f>
        <v>#NUM!</v>
      </c>
      <c r="P373" s="48" t="e">
        <f t="shared" si="23"/>
        <v>#NUM!</v>
      </c>
      <c r="Q373" s="48" t="e">
        <f>($B$5+SUM($D$13:$D373))</f>
        <v>#NUM!</v>
      </c>
    </row>
    <row r="374" spans="2:17">
      <c r="B374" s="45">
        <f>'Ипотечный калькулятор'!$C$21</f>
        <v>0.29000000000000004</v>
      </c>
      <c r="C374" s="47">
        <v>362</v>
      </c>
      <c r="D374" s="48" t="e">
        <f>PPMT($B374/12,1,$C$5-C374+1,$B$5+SUM($D$13:D373),0)</f>
        <v>#NUM!</v>
      </c>
      <c r="E374" s="48">
        <f>IFERROR(-($B$5+SUM($D$13:$D373))*$B374/12,0)</f>
        <v>0</v>
      </c>
      <c r="F374" s="48" t="e">
        <f t="shared" si="20"/>
        <v>#NUM!</v>
      </c>
      <c r="G374" s="48" t="e">
        <f>($B$5+SUM($D$13:$D374))</f>
        <v>#NUM!</v>
      </c>
      <c r="K374" s="45">
        <f t="shared" si="21"/>
        <v>3.7999999999999999E-2</v>
      </c>
      <c r="L374" s="47">
        <v>362</v>
      </c>
      <c r="M374" s="5">
        <f t="shared" ref="M374" si="24">IF(C374-2&lt;$L$5,IFERROR(F374-P374,0),0)</f>
        <v>0</v>
      </c>
      <c r="N374" s="48" t="e">
        <f>PPMT($K374/12,1,$C$5-L374+1,$B$5+SUM($N$13:N373),0)</f>
        <v>#NUM!</v>
      </c>
      <c r="O374" s="48" t="e">
        <f>-($B$5+SUM($N$13:$N373))*$K374/12</f>
        <v>#NUM!</v>
      </c>
      <c r="P374" s="48" t="e">
        <f t="shared" si="23"/>
        <v>#NUM!</v>
      </c>
      <c r="Q374" s="48" t="e">
        <f>($B$5+SUM($D$13:$D374))</f>
        <v>#NUM!</v>
      </c>
    </row>
  </sheetData>
  <mergeCells count="5">
    <mergeCell ref="N5:Q6"/>
    <mergeCell ref="K2:M2"/>
    <mergeCell ref="B10:G10"/>
    <mergeCell ref="K10:M10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outlinePr summaryBelow="0"/>
  </sheetPr>
  <dimension ref="B1:G68"/>
  <sheetViews>
    <sheetView showGridLines="0" tabSelected="1" zoomScale="70" zoomScaleNormal="70" workbookViewId="0">
      <selection activeCell="C58" sqref="C58"/>
    </sheetView>
  </sheetViews>
  <sheetFormatPr defaultRowHeight="15" outlineLevelRow="1"/>
  <cols>
    <col min="1" max="1" width="8" style="9" customWidth="1"/>
    <col min="2" max="2" width="116.7109375" style="9" customWidth="1"/>
    <col min="3" max="3" width="42.7109375" style="9" customWidth="1"/>
    <col min="4" max="4" width="25.5703125" style="9" bestFit="1" customWidth="1"/>
    <col min="5" max="5" width="240" style="9" customWidth="1"/>
    <col min="6" max="6" width="7.28515625" style="9" customWidth="1"/>
    <col min="7" max="7" width="6.85546875" style="9" customWidth="1"/>
    <col min="8" max="8" width="9.140625" style="9" customWidth="1"/>
    <col min="9" max="16384" width="9.140625" style="9"/>
  </cols>
  <sheetData>
    <row r="1" spans="2:6" ht="15.75" thickBot="1"/>
    <row r="2" spans="2:6" ht="23.25">
      <c r="B2" s="10" t="str">
        <f>'Данные калькулятора'!A20</f>
        <v>ЗП/АФК</v>
      </c>
      <c r="C2" s="11" t="s">
        <v>32</v>
      </c>
      <c r="E2" s="94" t="str">
        <f>IF(AND(C2="Нет",C4="Ипотека для IT специалистов"),"Доступна ТОЛЬКО для АФК","")</f>
        <v/>
      </c>
    </row>
    <row r="3" spans="2:6">
      <c r="B3" s="12" t="str">
        <f>'Данные калькулятора'!A21</f>
        <v>ИП/Собственники бизнеса</v>
      </c>
      <c r="C3" s="13" t="s">
        <v>32</v>
      </c>
    </row>
    <row r="4" spans="2:6">
      <c r="B4" s="12" t="s">
        <v>33</v>
      </c>
      <c r="C4" s="13" t="s">
        <v>96</v>
      </c>
      <c r="E4" s="9" t="str">
        <f>IF(C4="Рефинансирование ипотеки","Спроси у клиента о действующих кредитах и предложи консолидировать их в один в рамках рефинансирования ипотечного кредита","")</f>
        <v/>
      </c>
      <c r="F4" s="8"/>
    </row>
    <row r="5" spans="2:6">
      <c r="B5" s="12" t="str">
        <f>'Данные калькулятора'!A22</f>
        <v>Тип недвижимости</v>
      </c>
      <c r="C5" s="13" t="s">
        <v>605</v>
      </c>
      <c r="E5" s="9" t="str">
        <f>IF(C4="Рефинансирование ипотеки","Спроси у клиента о необходимости в дополнительных наличных денежных средствах","")</f>
        <v/>
      </c>
      <c r="F5" s="8"/>
    </row>
    <row r="6" spans="2:6">
      <c r="B6" s="88" t="str">
        <f>'Данные калькулятора'!A23</f>
        <v>(доступно только для рефинансирования)</v>
      </c>
      <c r="C6" s="13" t="s">
        <v>35</v>
      </c>
      <c r="F6" s="8"/>
    </row>
    <row r="7" spans="2:6" ht="23.25" hidden="1">
      <c r="B7" s="12" t="s">
        <v>36</v>
      </c>
      <c r="C7" s="31" t="s">
        <v>37</v>
      </c>
      <c r="E7" s="93" t="s">
        <v>38</v>
      </c>
      <c r="F7" s="8"/>
    </row>
    <row r="8" spans="2:6">
      <c r="B8" s="12" t="str">
        <f>'Данные калькулятора'!A28</f>
        <v>Сумма кредита</v>
      </c>
      <c r="C8" s="67">
        <v>7000000</v>
      </c>
    </row>
    <row r="9" spans="2:6">
      <c r="B9" s="12" t="str">
        <f>'Данные калькулятора'!A24</f>
        <v>(доступно для Рефинансирование ипотеки с консолидацией)</v>
      </c>
      <c r="C9" s="67">
        <v>0</v>
      </c>
    </row>
    <row r="10" spans="2:6">
      <c r="B10" s="12" t="str">
        <f>'Данные калькулятора'!A29</f>
        <v>(доступно для Рефинансирования)</v>
      </c>
      <c r="C10" s="132">
        <f>'Данные калькулятора'!B29</f>
        <v>7000000</v>
      </c>
    </row>
    <row r="11" spans="2:6">
      <c r="B11" s="12" t="s">
        <v>39</v>
      </c>
      <c r="C11" s="67">
        <v>12000000</v>
      </c>
    </row>
    <row r="12" spans="2:6">
      <c r="B12" s="12" t="s">
        <v>40</v>
      </c>
      <c r="C12" s="13">
        <v>240</v>
      </c>
    </row>
    <row r="13" spans="2:6">
      <c r="B13" s="12" t="s">
        <v>41</v>
      </c>
      <c r="C13" s="130">
        <f>C11-C8</f>
        <v>5000000</v>
      </c>
    </row>
    <row r="14" spans="2:6" ht="31.5">
      <c r="B14" s="12" t="s">
        <v>42</v>
      </c>
      <c r="C14" s="131">
        <f>'Данные калькулятора'!B31</f>
        <v>0.41699999999999998</v>
      </c>
      <c r="E14" s="133" t="str">
        <f>'Данные калькулятора'!B18</f>
        <v/>
      </c>
    </row>
    <row r="15" spans="2:6">
      <c r="B15" s="12" t="s">
        <v>43</v>
      </c>
      <c r="C15" s="131">
        <f>'Данные калькулятора'!B32</f>
        <v>0.58299999999999996</v>
      </c>
    </row>
    <row r="16" spans="2:6">
      <c r="B16" s="12" t="str">
        <f>'Данные калькулятора'!A25</f>
        <v>(доступно для Рефинансирование ипотеки с консолидацией)</v>
      </c>
      <c r="C16" s="131">
        <f>'Данные калькулятора'!B33</f>
        <v>0</v>
      </c>
    </row>
    <row r="17" spans="2:7" hidden="1">
      <c r="B17" s="12" t="s">
        <v>44</v>
      </c>
      <c r="C17" s="52">
        <f>'Данные калькулятора'!B34</f>
        <v>0</v>
      </c>
    </row>
    <row r="18" spans="2:7" hidden="1">
      <c r="B18" s="15" t="s">
        <v>45</v>
      </c>
      <c r="C18" s="16">
        <v>12</v>
      </c>
    </row>
    <row r="19" spans="2:7" hidden="1">
      <c r="B19" s="15" t="s">
        <v>46</v>
      </c>
      <c r="C19" s="16">
        <v>6</v>
      </c>
    </row>
    <row r="20" spans="2:7" hidden="1">
      <c r="B20" s="12" t="s">
        <v>47</v>
      </c>
      <c r="C20" s="17" t="str">
        <f>'Данные калькулятора'!B35</f>
        <v>-</v>
      </c>
      <c r="G20" s="73"/>
    </row>
    <row r="21" spans="2:7" ht="23.25">
      <c r="B21" s="12" t="s">
        <v>48</v>
      </c>
      <c r="C21" s="90">
        <f>'Данные калькулятора'!B37</f>
        <v>0.29000000000000004</v>
      </c>
      <c r="E21" s="94" t="str">
        <f>'Данные калькулятора'!B17</f>
        <v/>
      </c>
    </row>
    <row r="22" spans="2:7" hidden="1">
      <c r="B22" s="12" t="s">
        <v>49</v>
      </c>
      <c r="C22" s="13" t="s">
        <v>31</v>
      </c>
    </row>
    <row r="23" spans="2:7" hidden="1">
      <c r="B23" s="12" t="s">
        <v>50</v>
      </c>
      <c r="C23" s="13" t="s">
        <v>31</v>
      </c>
    </row>
    <row r="24" spans="2:7" hidden="1">
      <c r="B24" s="12" t="s">
        <v>51</v>
      </c>
      <c r="C24" s="19" t="b">
        <f>IF($C$4="новостройка","-",IF($C$4="Ипотека с господдержкой","-",IF($C$4="Субсидия Эталон",#REF!,IF($C$4="Субсидия Ant Development",#REF!,IF($C$4="вторичка","-",IF(C4="Рефинансирование","-",IF(C4="Кредит под ставку ипотеки","-",IF(C4="Рефинансирование с консолидацией","-",IF(C4="Кредит под залог","-",IF(C4="Рефинансирование с каникулами",#REF!))))))))))</f>
        <v>0</v>
      </c>
    </row>
    <row r="25" spans="2:7">
      <c r="B25" s="12" t="s">
        <v>52</v>
      </c>
      <c r="C25" s="91">
        <f>'Данные калькулятора'!B38</f>
        <v>169717.18651597371</v>
      </c>
    </row>
    <row r="26" spans="2:7" ht="15.75" thickBot="1">
      <c r="B26" s="20" t="s">
        <v>53</v>
      </c>
      <c r="C26" s="92">
        <f>'Данные калькулятора'!B39</f>
        <v>33732124.763833687</v>
      </c>
    </row>
    <row r="27" spans="2:7" ht="15.75" thickBot="1">
      <c r="B27" s="8"/>
      <c r="C27" s="112"/>
    </row>
    <row r="28" spans="2:7" ht="19.5" thickBot="1">
      <c r="B28" s="148" t="s">
        <v>54</v>
      </c>
      <c r="C28" s="149"/>
      <c r="E28" s="80" t="s">
        <v>55</v>
      </c>
    </row>
    <row r="29" spans="2:7" ht="19.5" thickBot="1">
      <c r="B29" s="150"/>
      <c r="C29" s="151"/>
      <c r="E29" s="79" t="s">
        <v>56</v>
      </c>
    </row>
    <row r="30" spans="2:7" ht="15.75" thickBot="1"/>
    <row r="31" spans="2:7">
      <c r="B31" s="10" t="s">
        <v>57</v>
      </c>
      <c r="C31" s="81">
        <f>(C32+C33+C36)*100%/60%</f>
        <v>282861.97752662288</v>
      </c>
      <c r="E31" s="32" t="s">
        <v>58</v>
      </c>
    </row>
    <row r="32" spans="2:7">
      <c r="B32" s="12" t="s">
        <v>59</v>
      </c>
      <c r="C32" s="82">
        <f>C25</f>
        <v>169717.18651597371</v>
      </c>
      <c r="E32" s="23"/>
    </row>
    <row r="33" spans="2:5">
      <c r="B33" s="12" t="s">
        <v>60</v>
      </c>
      <c r="C33" s="19">
        <f>SUM(D34:D35)</f>
        <v>0</v>
      </c>
    </row>
    <row r="34" spans="2:5" outlineLevel="1">
      <c r="B34" s="15" t="s">
        <v>61</v>
      </c>
      <c r="C34" s="33">
        <v>0</v>
      </c>
      <c r="D34" s="21">
        <f>C34*5%/12</f>
        <v>0</v>
      </c>
      <c r="E34" s="12" t="s">
        <v>62</v>
      </c>
    </row>
    <row r="35" spans="2:5" outlineLevel="1">
      <c r="B35" s="15" t="s">
        <v>63</v>
      </c>
      <c r="C35" s="33">
        <v>0</v>
      </c>
      <c r="D35" s="9">
        <f>C35*10%/12</f>
        <v>0</v>
      </c>
      <c r="E35" s="12" t="s">
        <v>64</v>
      </c>
    </row>
    <row r="36" spans="2:5" ht="15.75" thickBot="1">
      <c r="B36" s="20" t="s">
        <v>65</v>
      </c>
      <c r="C36" s="86">
        <v>0</v>
      </c>
      <c r="D36" s="22"/>
      <c r="E36" s="12" t="s">
        <v>66</v>
      </c>
    </row>
    <row r="37" spans="2:5" hidden="1"/>
    <row r="38" spans="2:5" hidden="1">
      <c r="B38" s="10" t="str">
        <f>'Данные калькулятора'!A26</f>
        <v>Единоразовая комиссия отсутствует</v>
      </c>
      <c r="C38" s="27"/>
      <c r="E38" s="12" t="s">
        <v>67</v>
      </c>
    </row>
    <row r="39" spans="2:5" hidden="1">
      <c r="B39" s="12" t="str">
        <f>'Данные калькулятора'!A27</f>
        <v>Платеж по комиссии отсутствует</v>
      </c>
      <c r="C39" s="18" t="str">
        <f>'Ипотека с господдержкой'!B13</f>
        <v/>
      </c>
    </row>
    <row r="40" spans="2:5" hidden="1">
      <c r="B40" s="24" t="s">
        <v>68</v>
      </c>
      <c r="C40" s="19" t="str">
        <f>IF(C4="Госпрограмма. Льготная ипотека",'Ипотека с господдержкой'!B15,"")</f>
        <v/>
      </c>
    </row>
    <row r="41" spans="2:5" hidden="1">
      <c r="B41" s="24" t="s">
        <v>69</v>
      </c>
      <c r="C41" s="19" t="str">
        <f>IF(C4="Госпрограмма. Льготная ипотека",'Ипотека с господдержкой'!B15-'Ипотека с господдержкой'!B10,"")</f>
        <v/>
      </c>
      <c r="E41" s="12" t="s">
        <v>70</v>
      </c>
    </row>
    <row r="42" spans="2:5" hidden="1">
      <c r="B42" s="24" t="s">
        <v>71</v>
      </c>
      <c r="C42" s="19" t="str">
        <f>IF(C4="Ипотека с господдержкой",-SUM('Ипотека с господдержкой'!J19:J317),"")</f>
        <v/>
      </c>
    </row>
    <row r="43" spans="2:5" hidden="1">
      <c r="B43" s="24" t="s">
        <v>72</v>
      </c>
      <c r="C43" s="14" t="str">
        <f>IFERROR(IF(C4="Ипотека с господдержкой",'Ипотека с господдержкой'!I20,""),"")</f>
        <v/>
      </c>
    </row>
    <row r="44" spans="2:5" ht="15.75" hidden="1" thickBot="1">
      <c r="B44" s="25" t="s">
        <v>73</v>
      </c>
      <c r="C44" s="26" t="str">
        <f>IFERROR(IF(C4="Госпрограмма. Льготная ипотека",ROUNDDOWN(C43/12,0),""),"")</f>
        <v/>
      </c>
      <c r="E44" s="12" t="s">
        <v>74</v>
      </c>
    </row>
    <row r="45" spans="2:5" hidden="1"/>
    <row r="46" spans="2:5" hidden="1"/>
    <row r="47" spans="2:5" ht="15.75" thickBot="1"/>
    <row r="48" spans="2:5">
      <c r="B48" s="148" t="s">
        <v>75</v>
      </c>
      <c r="C48" s="149"/>
    </row>
    <row r="49" spans="2:7" ht="15.75" thickBot="1">
      <c r="B49" s="150"/>
      <c r="C49" s="151"/>
    </row>
    <row r="50" spans="2:7" ht="15.75" thickBot="1"/>
    <row r="51" spans="2:7" outlineLevel="1">
      <c r="B51" s="10" t="s">
        <v>76</v>
      </c>
      <c r="C51" s="85" t="str">
        <f>'Ипотечный калькулятор'!C4</f>
        <v>Кредит под залог недвижимости</v>
      </c>
    </row>
    <row r="52" spans="2:7" outlineLevel="1">
      <c r="B52" s="75" t="s">
        <v>77</v>
      </c>
      <c r="C52" s="13" t="s">
        <v>617</v>
      </c>
      <c r="D52" t="str">
        <f ca="1">IF(OR('Для автоматизации комментария '!M4="",C52=""),"Города нет в справочнике",'Для автоматизации комментария '!M4)</f>
        <v>Электроугли</v>
      </c>
    </row>
    <row r="53" spans="2:7" outlineLevel="1">
      <c r="B53" s="37" t="s">
        <v>78</v>
      </c>
      <c r="C53" s="13" t="s">
        <v>79</v>
      </c>
    </row>
    <row r="54" spans="2:7" outlineLevel="1">
      <c r="B54" s="37"/>
      <c r="C54" s="83" t="s">
        <v>80</v>
      </c>
    </row>
    <row r="55" spans="2:7" ht="15.75" outlineLevel="1" thickBot="1">
      <c r="B55" s="20" t="s">
        <v>81</v>
      </c>
      <c r="C55" s="78" t="s">
        <v>82</v>
      </c>
      <c r="D55" t="str">
        <f>IF(C55="","Комментария нет","Комментарий есть")</f>
        <v>Комментарий есть</v>
      </c>
    </row>
    <row r="56" spans="2:7" outlineLevel="1">
      <c r="E56" s="84" t="str">
        <f ca="1">"NX_"&amp;C4&amp;"_"&amp;(IF(D52="Города нет в справочнике",_xlfn.CONCAT("NEW.",C52),D52))&amp;"_"&amp;C53&amp;"_"&amp;IF(C2="Да","ЗП","Улица")&amp;"__Срок:__"&amp;'Ипотечный калькулятор'!C12&amp;"__Размер кредита:__"&amp;ROUND(VLOOKUP("Сумма кредита",$B$8:$C$10,2,FALSE),2)&amp;"__ПВ:__"&amp;ROUND('Ипотечный калькулятор'!C13,2)&amp;"__Недвижимость:__"&amp;ROUND('Ипотечный калькулятор'!C11,2)&amp;"__Ставка:__"&amp;'Ипотечный калькулятор'!C21*100&amp;"__Платеж:__"&amp;ROUND('Ипотечный калькулятор'!C25,2)&amp;"__Комментарий:_"&amp;IF(C55="","НЕТ",C55)&amp;"_NX"</f>
        <v>NX_Кредит под залог недвижимости_Электроугли_Работа/служба по найму_Улица__Срок:__240__Размер кредита:__7000000__ПВ:__5000000__Недвижимость:__12000000__Ставка:__29__Платеж:__169717.19__Комментарий:_Здесь указывается комментарий_NX</v>
      </c>
      <c r="G56" s="66" t="s">
        <v>83</v>
      </c>
    </row>
    <row r="57" spans="2:7" ht="15" customHeight="1" outlineLevel="1">
      <c r="G57" s="66"/>
    </row>
    <row r="58" spans="2:7" ht="15.75" outlineLevel="1" thickBot="1"/>
    <row r="59" spans="2:7" ht="24" outlineLevel="1" thickBot="1">
      <c r="B59" s="76" t="s">
        <v>84</v>
      </c>
    </row>
    <row r="60" spans="2:7" ht="15" customHeight="1" outlineLevel="1" thickBot="1">
      <c r="B60" s="77"/>
    </row>
    <row r="61" spans="2:7" ht="49.5" customHeight="1" outlineLevel="1" thickBot="1">
      <c r="B61" s="87" t="str">
        <f ca="1">E56</f>
        <v>NX_Кредит под залог недвижимости_Электроугли_Работа/служба по найму_Улица__Срок:__240__Размер кредита:__7000000__ПВ:__5000000__Недвижимость:__12000000__Ставка:__29__Платеж:__169717.19__Комментарий:_Здесь указывается комментарий_NX</v>
      </c>
    </row>
    <row r="62" spans="2:7" ht="27" outlineLevel="1" thickBot="1">
      <c r="B62" s="77"/>
    </row>
    <row r="63" spans="2:7" outlineLevel="1">
      <c r="B63" s="145" t="str">
        <f>IF('Ипотечный калькулятор'!C51="Ипотека на покупку дома","Ипотека на покупку готового жилья",'Ипотечный калькулятор'!C51)</f>
        <v>Кредит под залог недвижимости</v>
      </c>
      <c r="C63" s="68" t="s">
        <v>85</v>
      </c>
      <c r="D63" s="68" t="s">
        <v>48</v>
      </c>
    </row>
    <row r="64" spans="2:7" ht="18.75" outlineLevel="1" thickBot="1">
      <c r="B64" s="146"/>
      <c r="C64" s="71" t="str">
        <f>TEXT(VLOOKUP("Сумма кредита",$B$8:$C$10,2,FALSE),"# ##,00")&amp;" ₽"</f>
        <v>7 000 0,00 ₽</v>
      </c>
      <c r="D64" s="72">
        <f>C21</f>
        <v>0.29000000000000004</v>
      </c>
    </row>
    <row r="65" spans="2:4" outlineLevel="1">
      <c r="B65" s="146"/>
      <c r="C65" s="70" t="s">
        <v>18</v>
      </c>
      <c r="D65" s="70" t="s">
        <v>86</v>
      </c>
    </row>
    <row r="66" spans="2:4" ht="18.75" outlineLevel="1" thickBot="1">
      <c r="B66" s="147"/>
      <c r="C66" s="71" t="str">
        <f>TEXT(C25,"# ##")&amp;" ₽"</f>
        <v>169 717 ₽</v>
      </c>
      <c r="D66" s="69" t="str">
        <f>C12&amp;" мес."</f>
        <v>240 мес.</v>
      </c>
    </row>
    <row r="67" spans="2:4" ht="18" outlineLevel="1">
      <c r="B67" s="113"/>
      <c r="C67" s="114"/>
      <c r="D67" s="113"/>
    </row>
    <row r="68" spans="2:4" ht="18">
      <c r="B68" s="113"/>
      <c r="C68" s="114"/>
      <c r="D68" s="113"/>
    </row>
  </sheetData>
  <mergeCells count="3">
    <mergeCell ref="B63:B66"/>
    <mergeCell ref="B48:C49"/>
    <mergeCell ref="B28:C29"/>
  </mergeCells>
  <conditionalFormatting sqref="C5:C7">
    <cfRule type="expression" dxfId="18" priority="33">
      <formula>$B$5&lt;&gt;""</formula>
    </cfRule>
  </conditionalFormatting>
  <conditionalFormatting sqref="B5 B7 B3">
    <cfRule type="expression" dxfId="17" priority="29">
      <formula>$B$5="НЕОБХОДИМО ВЫБРАТЬ ИПОТЕКУ В СТОРОННЕМ БАНКЕ!"</formula>
    </cfRule>
  </conditionalFormatting>
  <conditionalFormatting sqref="B3">
    <cfRule type="cellIs" dxfId="16" priority="13" operator="equal">
      <formula>"(доступно для Кредит под залог недвижимости или Коммерческая ипотека)"</formula>
    </cfRule>
    <cfRule type="cellIs" dxfId="15" priority="27" operator="equal">
      <formula>"ИП/Собственники бизнеса"</formula>
    </cfRule>
    <cfRule type="cellIs" dxfId="14" priority="28" operator="equal">
      <formula>"ИП"</formula>
    </cfRule>
  </conditionalFormatting>
  <conditionalFormatting sqref="E28">
    <cfRule type="cellIs" dxfId="13" priority="21" operator="equal">
      <formula>"Не выбрали программу"</formula>
    </cfRule>
    <cfRule type="cellIs" dxfId="12" priority="22" operator="equal">
      <formula>"Не заполнили город"</formula>
    </cfRule>
  </conditionalFormatting>
  <conditionalFormatting sqref="D52">
    <cfRule type="cellIs" dxfId="11" priority="16" operator="equal">
      <formula>"Города нет в справочнике"</formula>
    </cfRule>
  </conditionalFormatting>
  <conditionalFormatting sqref="D55">
    <cfRule type="cellIs" dxfId="10" priority="14" operator="equal">
      <formula>"Комментарий есть"</formula>
    </cfRule>
    <cfRule type="cellIs" dxfId="9" priority="15" operator="equal">
      <formula>"Комментария нет"</formula>
    </cfRule>
  </conditionalFormatting>
  <conditionalFormatting sqref="D13">
    <cfRule type="colorScale" priority="11">
      <colorScale>
        <cfvo type="min"/>
        <cfvo type="max"/>
        <color theme="9" tint="0.59999389629810485"/>
        <color theme="9" tint="0.59999389629810485"/>
      </colorScale>
    </cfRule>
  </conditionalFormatting>
  <conditionalFormatting sqref="E21">
    <cfRule type="containsText" dxfId="8" priority="9" operator="containsText" text="Если недвижимость в Краснодарском крае, то ПВ от 20,1%">
      <formula>NOT(ISERROR(SEARCH("Если недвижимость в Краснодарском крае, то ПВ от 20,1%",E21)))</formula>
    </cfRule>
    <cfRule type="containsText" dxfId="7" priority="10" operator="containsText" text="Ставка 5% - для проживающих на территории Дальневосточного федерального округа и приобретающих жилое помещение на указанной ">
      <formula>NOT(ISERROR(SEARCH("Ставка 5% - для проживающих на территории Дальневосточного федерального округа и приобретающих жилое помещение на указанной ",E21)))</formula>
    </cfRule>
  </conditionalFormatting>
  <conditionalFormatting sqref="B6">
    <cfRule type="expression" dxfId="6" priority="8">
      <formula>$B$6="(доступно только для рефинансирования)"</formula>
    </cfRule>
  </conditionalFormatting>
  <conditionalFormatting sqref="E2">
    <cfRule type="containsText" dxfId="5" priority="5" operator="containsText" text="Доступна ТОЛЬКО для АФК">
      <formula>NOT(ISERROR(SEARCH("Доступна ТОЛЬКО для АФК",E2)))</formula>
    </cfRule>
    <cfRule type="containsText" dxfId="4" priority="6" operator="containsText" text="Данная программа ТОЛЬКО для АФК">
      <formula>NOT(ISERROR(SEARCH("Данная программа ТОЛЬКО для АФК",E2)))</formula>
    </cfRule>
  </conditionalFormatting>
  <conditionalFormatting sqref="B16">
    <cfRule type="containsText" dxfId="3" priority="4" operator="containsText" text="(доступно для Рефинансирование ипотеки с консолидацией)">
      <formula>NOT(ISERROR(SEARCH("(доступно для Рефинансирование ипотеки с консолидацией)",B16)))</formula>
    </cfRule>
  </conditionalFormatting>
  <conditionalFormatting sqref="B9">
    <cfRule type="containsText" dxfId="2" priority="3" operator="containsText" text="(доступно для Рефинансирование ипотеки с консолидацией)">
      <formula>NOT(ISERROR(SEARCH("(доступно для Рефинансирование ипотеки с консолидацией)",B9)))</formula>
    </cfRule>
  </conditionalFormatting>
  <conditionalFormatting sqref="B10">
    <cfRule type="containsText" dxfId="1" priority="2" operator="containsText" text="(доступно для Рефинансирования)">
      <formula>NOT(ISERROR(SEARCH("(доступно для Рефинансирования)",B10)))</formula>
    </cfRule>
  </conditionalFormatting>
  <conditionalFormatting sqref="C14">
    <cfRule type="cellIs" dxfId="0" priority="1" operator="lessThan">
      <formula>0.2009</formula>
    </cfRule>
  </conditionalFormatting>
  <dataValidations count="5">
    <dataValidation type="list" allowBlank="1" showInputMessage="1" showErrorMessage="1" sqref="C18" xr:uid="{00000000-0002-0000-0100-000000000000}">
      <formula1>"12, 24, 36"</formula1>
    </dataValidation>
    <dataValidation type="list" allowBlank="1" showInputMessage="1" showErrorMessage="1" sqref="C19" xr:uid="{00000000-0002-0000-0100-000001000000}">
      <formula1>"6,12"</formula1>
    </dataValidation>
    <dataValidation errorStyle="information" allowBlank="1" showInputMessage="1" showErrorMessage="1" sqref="B38" xr:uid="{00000000-0002-0000-0100-000002000000}"/>
    <dataValidation type="list" allowBlank="1" showInputMessage="1" showErrorMessage="1" sqref="C22:C23 C2:C3 E3" xr:uid="{00000000-0002-0000-0100-000003000000}">
      <formula1>"Да, Нет"</formula1>
    </dataValidation>
    <dataValidation type="list" allowBlank="1" showInputMessage="1" showErrorMessage="1" sqref="C3" xr:uid="{00000000-0002-0000-0100-000004000000}">
      <formula1>$G$2:$G$4</formula1>
    </dataValidation>
  </dataValidations>
  <hyperlinks>
    <hyperlink ref="E29" r:id="rId1" xr:uid="{00000000-0004-0000-01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B01BCCEE-CD05-4EE4-8B7D-A0D919F938B5}">
            <xm:f>AND($C$4='Данные калькулятора'!$A$10,$C$2='Данные калькулятора'!$G$5)</xm:f>
            <x14:dxf/>
          </x14:cfRule>
          <xm:sqref>E2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5000000}">
          <x14:formula1>
            <xm:f>'Данные калькулятора'!$C$4:$C$7</xm:f>
          </x14:formula1>
          <xm:sqref>C5</xm:sqref>
        </x14:dataValidation>
        <x14:dataValidation type="list" allowBlank="1" showInputMessage="1" showErrorMessage="1" errorTitle="Ошибка" error="Вы пытаетесь ввести данные самостоятельно." xr:uid="{00000000-0002-0000-0100-000006000000}">
          <x14:formula1>
            <xm:f>'Ипотека с господдержкой'!$K$1:$K$3</xm:f>
          </x14:formula1>
          <xm:sqref>C38</xm:sqref>
        </x14:dataValidation>
        <x14:dataValidation type="list" allowBlank="1" showInputMessage="1" showErrorMessage="1" xr:uid="{00000000-0002-0000-0100-000009000000}">
          <x14:formula1>
            <xm:f>'Данные калькулятора'!$G$4:$G$6</xm:f>
          </x14:formula1>
          <xm:sqref>C7</xm:sqref>
        </x14:dataValidation>
        <x14:dataValidation type="list" allowBlank="1" showInputMessage="1" showErrorMessage="1" xr:uid="{00000000-0002-0000-0100-00000A000000}">
          <x14:formula1>
            <xm:f>'Для автоматизации комментария '!$D$3:$D$6</xm:f>
          </x14:formula1>
          <xm:sqref>C53</xm:sqref>
        </x14:dataValidation>
        <x14:dataValidation type="list" allowBlank="1" showInputMessage="1" showErrorMessage="1" xr:uid="{00000000-0002-0000-0100-00000B000000}">
          <x14:formula1>
            <xm:f>'Для автоматизации комментария '!$E$3:$E$7</xm:f>
          </x14:formula1>
          <xm:sqref>C54</xm:sqref>
        </x14:dataValidation>
        <x14:dataValidation type="list" allowBlank="1" showInputMessage="1" showErrorMessage="1" xr:uid="{00000000-0002-0000-0100-00000C000000}">
          <x14:formula1>
            <xm:f>'Данные калькулятора'!$J$4:$J$5</xm:f>
          </x14:formula1>
          <xm:sqref>C6</xm:sqref>
        </x14:dataValidation>
        <x14:dataValidation type="list" allowBlank="1" showInputMessage="1" showErrorMessage="1" xr:uid="{00000000-0002-0000-0100-000007000000}">
          <x14:formula1>
            <xm:f>'Данные калькулятора'!$A$4:$A$6</xm:f>
          </x14:formula1>
          <xm:sqref>C5</xm:sqref>
        </x14:dataValidation>
        <x14:dataValidation type="list" allowBlank="1" showInputMessage="1" showErrorMessage="1" xr:uid="{00000000-0002-0000-0100-000008000000}">
          <x14:formula1>
            <xm:f>'Данные калькулятора'!$A$4:$A$9</xm:f>
          </x14:formula1>
          <xm:sqref>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3"/>
  <dimension ref="A1:J19"/>
  <sheetViews>
    <sheetView zoomScale="70" zoomScaleNormal="70" workbookViewId="0">
      <selection activeCell="E60" sqref="E60"/>
    </sheetView>
  </sheetViews>
  <sheetFormatPr defaultRowHeight="15"/>
  <cols>
    <col min="1" max="1" width="57" bestFit="1" customWidth="1"/>
    <col min="2" max="2" width="15.42578125" customWidth="1"/>
    <col min="6" max="6" width="36" customWidth="1"/>
  </cols>
  <sheetData>
    <row r="1" spans="1:10">
      <c r="A1" t="s">
        <v>12</v>
      </c>
      <c r="B1" s="7">
        <f>'Ипотечный калькулятор'!C8</f>
        <v>7000000</v>
      </c>
      <c r="F1" s="1" t="s">
        <v>87</v>
      </c>
      <c r="G1" t="str">
        <f>'Ипотечный калькулятор'!C2</f>
        <v>Нет</v>
      </c>
      <c r="H1">
        <f>IF(G1="Да",0,0)</f>
        <v>0</v>
      </c>
    </row>
    <row r="2" spans="1:10">
      <c r="A2" t="s">
        <v>86</v>
      </c>
      <c r="B2">
        <f>'Ипотечный калькулятор'!C12</f>
        <v>240</v>
      </c>
      <c r="F2" s="1" t="str">
        <f>IF(AND(B3&gt;=0%,B3&lt;B14%),"&lt;"&amp;B14&amp;"%",IF(AND(G1="Да",B3&gt;=B14%),"&gt;="&amp;B14&amp;"%",IF(AND(G1="Нет",B3&gt;=B15%),"&gt;="&amp;B15&amp;"%","ЛОЖЬ")))</f>
        <v>ЛОЖЬ</v>
      </c>
      <c r="G2" t="str">
        <f>"&gt;="&amp;B15&amp;"%"</f>
        <v>&gt;=50.01%</v>
      </c>
      <c r="H2" s="2">
        <f>J2</f>
        <v>0.06</v>
      </c>
      <c r="J2" s="30">
        <f>B17/100</f>
        <v>0.06</v>
      </c>
    </row>
    <row r="3" spans="1:10">
      <c r="A3" t="s">
        <v>41</v>
      </c>
      <c r="B3" s="3">
        <f>'Ипотечный калькулятор'!C14</f>
        <v>0.41699999999999998</v>
      </c>
      <c r="G3" t="str">
        <f>"&gt;="&amp;B14&amp;"%"</f>
        <v>&gt;=20.01%</v>
      </c>
      <c r="H3" s="2">
        <f>J3</f>
        <v>0.06</v>
      </c>
      <c r="J3" s="30">
        <f>B17/100</f>
        <v>0.06</v>
      </c>
    </row>
    <row r="4" spans="1:10">
      <c r="A4" t="s">
        <v>44</v>
      </c>
      <c r="B4">
        <f>'Ипотечный калькулятор'!C17</f>
        <v>0</v>
      </c>
      <c r="H4" s="2"/>
    </row>
    <row r="5" spans="1:10">
      <c r="A5" t="s">
        <v>47</v>
      </c>
      <c r="H5" s="2"/>
    </row>
    <row r="6" spans="1:10">
      <c r="A6" t="s">
        <v>48</v>
      </c>
      <c r="B6" s="28" t="e">
        <f>VLOOKUP($F$2,$G$2:$H$3,2,0)+VLOOKUP(F16,G16:H19,2,0)+H1</f>
        <v>#N/A</v>
      </c>
      <c r="H6" s="2"/>
    </row>
    <row r="7" spans="1:10">
      <c r="A7" t="s">
        <v>49</v>
      </c>
      <c r="B7" t="str">
        <f>'Ипотечный калькулятор'!C22</f>
        <v>Да</v>
      </c>
      <c r="H7" s="2"/>
    </row>
    <row r="8" spans="1:10">
      <c r="A8" t="s">
        <v>50</v>
      </c>
      <c r="B8" t="str">
        <f>'Ипотечный калькулятор'!C23</f>
        <v>Да</v>
      </c>
      <c r="H8" s="2"/>
    </row>
    <row r="9" spans="1:10">
      <c r="A9" t="s">
        <v>51</v>
      </c>
      <c r="H9" s="2"/>
    </row>
    <row r="10" spans="1:10">
      <c r="A10" t="s">
        <v>88</v>
      </c>
      <c r="B10" s="7" t="e">
        <f>-PMT($B$6/12,$B$2,$B$1,0,0)</f>
        <v>#N/A</v>
      </c>
      <c r="H10" s="2"/>
    </row>
    <row r="11" spans="1:10">
      <c r="A11" t="s">
        <v>53</v>
      </c>
      <c r="B11" s="7" t="e">
        <f>B10*B2-B1</f>
        <v>#N/A</v>
      </c>
      <c r="H11" s="2"/>
    </row>
    <row r="12" spans="1:10">
      <c r="A12" t="s">
        <v>53</v>
      </c>
      <c r="H12" s="2"/>
    </row>
    <row r="13" spans="1:10" ht="15.75" thickBot="1">
      <c r="H13" s="2"/>
    </row>
    <row r="14" spans="1:10" ht="24" thickBot="1">
      <c r="A14" s="61" t="s">
        <v>89</v>
      </c>
      <c r="B14" s="60">
        <v>20.010000000000002</v>
      </c>
      <c r="H14" s="2"/>
    </row>
    <row r="15" spans="1:10" ht="24" thickBot="1">
      <c r="A15" s="61" t="s">
        <v>90</v>
      </c>
      <c r="B15" s="60">
        <v>50.01</v>
      </c>
    </row>
    <row r="16" spans="1:10" ht="15.75" thickBot="1">
      <c r="F16" s="1" t="str">
        <f>B7&amp;B8</f>
        <v>ДаДа</v>
      </c>
      <c r="G16" t="s">
        <v>91</v>
      </c>
      <c r="H16" s="6">
        <v>0.05</v>
      </c>
    </row>
    <row r="17" spans="1:8" ht="24" thickBot="1">
      <c r="A17" s="61" t="str">
        <f>"ОТ "&amp;B14&amp;"%"</f>
        <v>ОТ 20,01%</v>
      </c>
      <c r="B17" s="60">
        <v>6</v>
      </c>
      <c r="G17" t="s">
        <v>92</v>
      </c>
      <c r="H17" s="6">
        <v>0.04</v>
      </c>
    </row>
    <row r="18" spans="1:8">
      <c r="B18" s="7"/>
      <c r="G18" t="s">
        <v>93</v>
      </c>
      <c r="H18" s="6">
        <v>0.01</v>
      </c>
    </row>
    <row r="19" spans="1:8">
      <c r="G19" t="s">
        <v>94</v>
      </c>
      <c r="H19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4"/>
  <dimension ref="A1:H18"/>
  <sheetViews>
    <sheetView workbookViewId="0">
      <selection activeCell="E60" sqref="E60"/>
    </sheetView>
  </sheetViews>
  <sheetFormatPr defaultRowHeight="15"/>
  <cols>
    <col min="1" max="1" width="57" bestFit="1" customWidth="1"/>
    <col min="2" max="2" width="9.85546875" bestFit="1" customWidth="1"/>
    <col min="6" max="6" width="16.85546875" bestFit="1" customWidth="1"/>
    <col min="7" max="7" width="38.140625" customWidth="1"/>
    <col min="8" max="8" width="19.7109375" customWidth="1"/>
  </cols>
  <sheetData>
    <row r="1" spans="1:8">
      <c r="A1" t="s">
        <v>12</v>
      </c>
      <c r="B1" s="7">
        <f>VLOOKUP("Сумма кредита",'Ипотечный калькулятор'!$B$8:$C$10,2,FALSE)</f>
        <v>7000000</v>
      </c>
      <c r="F1" s="1" t="s">
        <v>87</v>
      </c>
      <c r="G1" t="str">
        <f>'Ипотечный калькулятор'!C2</f>
        <v>Нет</v>
      </c>
      <c r="H1">
        <f>IF(G1="Да",0,0)</f>
        <v>0</v>
      </c>
    </row>
    <row r="2" spans="1:8">
      <c r="A2" t="s">
        <v>86</v>
      </c>
      <c r="B2">
        <f>'Ипотечный калькулятор'!C12</f>
        <v>240</v>
      </c>
      <c r="F2" s="1" t="str">
        <f>IF(AND(B3&gt;=0%,B3&lt;B15%),"&lt;"&amp;B15&amp;"%",IF(AND(G1="Да",B3&gt;=B15%),"&gt;="&amp;B15&amp;"%",IF(AND(G1="Нет",B3&gt;=B16%),"&gt;="&amp;B16&amp;"%","ЛОЖЬ")))</f>
        <v>ЛОЖЬ</v>
      </c>
      <c r="G2" t="str">
        <f>"&gt;="&amp;B16&amp;"%"</f>
        <v>&gt;=50.01%</v>
      </c>
      <c r="H2" s="4">
        <f>B18/100</f>
        <v>0.06</v>
      </c>
    </row>
    <row r="3" spans="1:8">
      <c r="A3" t="s">
        <v>41</v>
      </c>
      <c r="B3" s="3">
        <f>'Ипотечный калькулятор'!C14</f>
        <v>0.41699999999999998</v>
      </c>
      <c r="G3" t="str">
        <f>"&gt;="&amp;B15&amp;"%"</f>
        <v>&gt;=20.01%</v>
      </c>
      <c r="H3" s="4">
        <f>B18/100</f>
        <v>0.06</v>
      </c>
    </row>
    <row r="4" spans="1:8">
      <c r="A4" t="s">
        <v>44</v>
      </c>
      <c r="B4">
        <f>'Ипотечный калькулятор'!C17</f>
        <v>0</v>
      </c>
      <c r="H4" s="2"/>
    </row>
    <row r="5" spans="1:8">
      <c r="A5" t="s">
        <v>47</v>
      </c>
      <c r="H5" s="2"/>
    </row>
    <row r="6" spans="1:8">
      <c r="A6" t="s">
        <v>48</v>
      </c>
      <c r="B6" s="28" t="e">
        <f>VLOOKUP($F$2,$G$2:$H$3,2,0)+VLOOKUP(F15,G15:H18,2,0)+H1</f>
        <v>#N/A</v>
      </c>
      <c r="H6" s="2"/>
    </row>
    <row r="7" spans="1:8">
      <c r="A7" t="s">
        <v>49</v>
      </c>
      <c r="B7" t="str">
        <f>'Ипотечный калькулятор'!C22</f>
        <v>Да</v>
      </c>
      <c r="H7" s="2"/>
    </row>
    <row r="8" spans="1:8">
      <c r="A8" t="s">
        <v>50</v>
      </c>
      <c r="B8" t="str">
        <f>'Ипотечный калькулятор'!C23</f>
        <v>Да</v>
      </c>
      <c r="H8" s="2"/>
    </row>
    <row r="9" spans="1:8">
      <c r="A9" t="s">
        <v>51</v>
      </c>
      <c r="H9" s="2"/>
    </row>
    <row r="10" spans="1:8">
      <c r="A10" t="s">
        <v>88</v>
      </c>
      <c r="B10" s="7" t="e">
        <f>-PMT($B$6/12,$B$2,$B$1,0,0)</f>
        <v>#N/A</v>
      </c>
      <c r="H10" s="2"/>
    </row>
    <row r="11" spans="1:8">
      <c r="A11" t="s">
        <v>53</v>
      </c>
      <c r="B11" s="7" t="e">
        <f>B10*B2-B1</f>
        <v>#N/A</v>
      </c>
      <c r="H11" s="2"/>
    </row>
    <row r="12" spans="1:8">
      <c r="A12" t="s">
        <v>53</v>
      </c>
      <c r="H12" s="2"/>
    </row>
    <row r="13" spans="1:8">
      <c r="H13" s="2"/>
    </row>
    <row r="14" spans="1:8" ht="15.75" thickBot="1"/>
    <row r="15" spans="1:8" ht="24" thickBot="1">
      <c r="A15" s="61" t="s">
        <v>89</v>
      </c>
      <c r="B15" s="60">
        <v>20.010000000000002</v>
      </c>
      <c r="F15" s="1" t="str">
        <f>B7&amp;B8</f>
        <v>ДаДа</v>
      </c>
      <c r="G15" t="s">
        <v>91</v>
      </c>
      <c r="H15" s="6">
        <v>0.05</v>
      </c>
    </row>
    <row r="16" spans="1:8" ht="24" thickBot="1">
      <c r="A16" s="61" t="s">
        <v>90</v>
      </c>
      <c r="B16" s="60">
        <v>50.01</v>
      </c>
      <c r="G16" t="s">
        <v>92</v>
      </c>
      <c r="H16" s="6">
        <v>0.04</v>
      </c>
    </row>
    <row r="17" spans="1:8" ht="15.75" thickBot="1">
      <c r="B17" s="7"/>
      <c r="G17" t="s">
        <v>93</v>
      </c>
      <c r="H17" s="6">
        <v>0.01</v>
      </c>
    </row>
    <row r="18" spans="1:8" ht="24" thickBot="1">
      <c r="A18" s="61" t="str">
        <f>"ОТ "&amp;B15&amp;"%"</f>
        <v>ОТ 20,01%</v>
      </c>
      <c r="B18" s="60">
        <v>6</v>
      </c>
      <c r="G18" t="s">
        <v>94</v>
      </c>
      <c r="H18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/>
  <dimension ref="A2:J39"/>
  <sheetViews>
    <sheetView workbookViewId="0">
      <selection activeCell="C17" sqref="C17"/>
    </sheetView>
  </sheetViews>
  <sheetFormatPr defaultRowHeight="15"/>
  <cols>
    <col min="1" max="1" width="70.85546875" customWidth="1"/>
    <col min="2" max="2" width="21.140625" customWidth="1"/>
  </cols>
  <sheetData>
    <row r="2" spans="1:10" ht="15.75" thickBot="1"/>
    <row r="3" spans="1:10" ht="15.75" thickBot="1">
      <c r="A3" s="74" t="s">
        <v>95</v>
      </c>
    </row>
    <row r="4" spans="1:10">
      <c r="A4" t="s">
        <v>96</v>
      </c>
      <c r="C4" t="str">
        <f>IF($E$4=1,"Ипотека в МТС Банк","")</f>
        <v/>
      </c>
      <c r="E4">
        <f>IF(OR('Ипотечный калькулятор'!B5="Тип рефинансируемой ипотеки",'Ипотечный калькулятор'!B5="НЕОБХОДИМО ВЫБРАТЬ ИПОТЕКУ В СТОРОННЕМ БАНКЕ!"),1,0)</f>
        <v>0</v>
      </c>
      <c r="G4" t="s">
        <v>37</v>
      </c>
      <c r="H4" t="s">
        <v>97</v>
      </c>
      <c r="J4" t="s">
        <v>35</v>
      </c>
    </row>
    <row r="5" spans="1:10">
      <c r="A5" t="s">
        <v>100</v>
      </c>
      <c r="C5" t="str">
        <f>IF($E$4=1,"Ипотека в стороннем банке","")</f>
        <v/>
      </c>
      <c r="G5" t="s">
        <v>98</v>
      </c>
      <c r="H5" t="s">
        <v>34</v>
      </c>
      <c r="J5" t="s">
        <v>99</v>
      </c>
    </row>
    <row r="6" spans="1:10">
      <c r="A6" t="s">
        <v>101</v>
      </c>
      <c r="C6" t="str">
        <f>IF(E4=0,"дом","")</f>
        <v>дом</v>
      </c>
    </row>
    <row r="7" spans="1:10">
      <c r="A7" t="s">
        <v>102</v>
      </c>
      <c r="C7" t="str">
        <f>IF(E4=0,"квартира","")</f>
        <v>квартира</v>
      </c>
    </row>
    <row r="8" spans="1:10">
      <c r="A8" t="s">
        <v>103</v>
      </c>
    </row>
    <row r="9" spans="1:10">
      <c r="A9" t="s">
        <v>104</v>
      </c>
    </row>
    <row r="17" spans="1:2">
      <c r="A17" t="str">
        <f>'Ипотечный калькулятор'!C4</f>
        <v>Кредит под залог недвижимости</v>
      </c>
      <c r="B17" t="str">
        <f>IF(OR(A17="Рефинансирование. Семейная ипотека",A17="Новостройка. Семейная ипотека"),"Ставка 5% - для проживающих на территории Дальневосточного федерального округа и приобретающих жилое помещение на указанной территории",IF(A17="Квартира на первичном рынке","Если недвижимость в Краснодарском крае, то ПВ от 20,1%",""))</f>
        <v/>
      </c>
    </row>
    <row r="18" spans="1:2">
      <c r="B18" t="str">
        <f>IF(OR(A17="Квартира на первичном рынке",A17="Квартира на вторичном рынке"),"&lt;-- ПВ от 20,1%","")</f>
        <v/>
      </c>
    </row>
    <row r="20" spans="1:2">
      <c r="A20" t="str">
        <f>IF('Ипотечный калькулятор'!C4="Ипотека с господдержкой","ЗП/АФК/ГК Эталон","ЗП/АФК")</f>
        <v>ЗП/АФК</v>
      </c>
    </row>
    <row r="21" spans="1:2">
      <c r="A21" t="str">
        <f>IF(AND(OR('Ипотечный калькулятор'!C4="Кредит под залог недвижимости",'Ипотечный калькулятор'!C4="Коммерческая недвижимость"),'Ипотечный калькулятор'!C2="Нет"), "ИП/Собственники бизнеса","(доступно для Кредит под залог недвижимости или Коммерческая ипотека)")</f>
        <v>ИП/Собственники бизнеса</v>
      </c>
    </row>
    <row r="22" spans="1:2">
      <c r="A22" t="str">
        <f>IF(OR('Ипотечный калькулятор'!C4="Рефинансирование ипотеки",'Ипотечный калькулятор'!C4="Рефинансирование ипотеки с консолидацией"),"Тип рефинансируемой ипотеки",IF('Ипотечный калькулятор'!C4="Кредит под залог недвижимости","Тип недвижимости",IF('Ипотечный калькулятор'!C4="Рефинансирование ипотеки с консолидацией","НЕОБХОДИМО ВЫБРАТЬ ИПОТЕКУ В СТОРОННЕМ БАНКЕ!",IF('Ипотечный калькулятор'!C4="Ипотека на покупку дома","Тип недвижимости",(IF('Ипотечный калькулятор'!C5="","","НЕАКТУАЛЬНО! ВЫБРАТЬ ПУСТОЕ ЗНАЧЕНИЕ В ВЫПАДАЮЩЕМ СПИСКЕ!"))))))</f>
        <v>Тип недвижимости</v>
      </c>
    </row>
    <row r="23" spans="1:2">
      <c r="A23" t="str">
        <f>IF(OR('Ипотечный калькулятор'!C4="Рефинансирование ипотеки с консолидацией",'Ипотечный калькулятор'!C4="Рефинансирование ипотеки"),"Объект залога","(доступно только для рефинансирования)")</f>
        <v>(доступно только для рефинансирования)</v>
      </c>
    </row>
    <row r="24" spans="1:2">
      <c r="A24" t="str">
        <f>IF('Ипотечный калькулятор'!C4= "Рефинансирование ипотеки с консолидацией","Дополнительная сумма","(доступно для Рефинансирование ипотеки с консолидацией)")</f>
        <v>(доступно для Рефинансирование ипотеки с консолидацией)</v>
      </c>
      <c r="B24">
        <f>IF('Ипотечный калькулятор'!C4= "Рефинансирование ипотеки с консолидацией",0*'Ипотечный калькулятор'!C9,'Ипотечный калькулятор'!C9)</f>
        <v>0</v>
      </c>
    </row>
    <row r="25" spans="1:2">
      <c r="A25" t="str">
        <f>IF('Ипотечный калькулятор'!C4="Рефинансирование ипотеки с консолидацией","Отношение Доп. денег к Остатку Ссудной Задолженности (ОСЗ) в %% до 50%","(доступно для Рефинансирование ипотеки с консолидацией)")</f>
        <v>(доступно для Рефинансирование ипотеки с консолидацией)</v>
      </c>
    </row>
    <row r="26" spans="1:2">
      <c r="A26" t="str">
        <f>IF('Ипотечный калькулятор'!C4="Ипотека с господдержкой","Единоразовая комиссия","Единоразовая комиссия отсутствует")</f>
        <v>Единоразовая комиссия отсутствует</v>
      </c>
    </row>
    <row r="27" spans="1:2">
      <c r="A27" t="str">
        <f>IF('Ипотечный калькулятор'!C4="Ипотека с господдержкой","Платеж по комиссии","Платеж по комиссии отсутствует")</f>
        <v>Платеж по комиссии отсутствует</v>
      </c>
    </row>
    <row r="28" spans="1:2">
      <c r="A28" t="str">
        <f>IF(OR('Ипотечный калькулятор'!C4 = "Рефинансирование ипотеки с консолидацией",'Ипотечный калькулятор'!C4="Рефинансирование. Семейная ипотека",'Ипотечный калькулятор'!C4="Рефинансирование ипотеки"),"Сумма рефинансирования","Сумма кредита")</f>
        <v>Сумма кредита</v>
      </c>
    </row>
    <row r="29" spans="1:2">
      <c r="A29" t="str">
        <f>IF(A28="Сумма рефинансирования","Сумма кредита","(доступно для Рефинансирования)")</f>
        <v>(доступно для Рефинансирования)</v>
      </c>
      <c r="B29" s="89">
        <f>IF(A29="-",0*('Ипотечный калькулятор'!C8+'Ипотечный калькулятор'!C9),(IF(A24="-",0*('Ипотечный калькулятор'!C9)+'Ипотечный калькулятор'!C8,('Ипотечный калькулятор'!C8+'Ипотечный калькулятор'!C9))))</f>
        <v>7000000</v>
      </c>
    </row>
    <row r="31" spans="1:2">
      <c r="A31" t="s">
        <v>42</v>
      </c>
      <c r="B31">
        <f>ROUND('Ипотечный калькулятор'!C13/'Ипотечный калькулятор'!C11,3)</f>
        <v>0.41699999999999998</v>
      </c>
    </row>
    <row r="32" spans="1:2">
      <c r="A32" t="s">
        <v>43</v>
      </c>
      <c r="B32">
        <f>ROUND(VLOOKUP("Сумма кредита",'Ипотечный калькулятор'!$B$8:'Ипотечный калькулятор'!$C$10,2,FALSE)/'Ипотечный калькулятор'!C11,3)</f>
        <v>0.58299999999999996</v>
      </c>
    </row>
    <row r="33" spans="1:2">
      <c r="A33" t="s">
        <v>105</v>
      </c>
      <c r="B33">
        <f>ROUND((IF('Ипотечный калькулятор'!C4="Рефинансирование ипотеки с консолидацией",'Ипотечный калькулятор'!C9,0))/'Ипотечный калькулятор'!C8,2)</f>
        <v>0</v>
      </c>
    </row>
    <row r="34" spans="1:2">
      <c r="B34">
        <f>IF('Ипотечный калькулятор'!C4="Ипотека для IT специалистов",0,
(IF('Ипотечный калькулятор'!$C$4="Кредит под ставку ипотеки",0,
IF('Ипотечный калькулятор'!$C$4="Ипотека на покупку дома",0,
IF('Ипотечный калькулятор'!C4="Новостройка. Семейная ипотека",0,
IF('Ипотечный калькулятор'!C4="Рефинансирование. Семейная ипотека",0,
IF('Ипотечный калькулятор'!$C$4="Квартира на первичном рынке",0,
IF('Ипотечный калькулятор'!$C$4="Госпрограмма. Льготная ипотека",0,
IF('Ипотечный калькулятор'!$C$4="Кредит под залог недвижимости",0,
IF('Ипотечный калькулятор'!$C$4="Квартира на вторичном рынке",0,
IF('Ипотечный калькулятор'!$C$4="Рефинансирование ипотеки",0,
IF('Ипотечный калькулятор'!$C$4="Рефинансирование ипотеки с консолидацией",0,
IF('Ипотечный калькулятор'!$C$4="Коммерческая недвижимость",0
)))))))))))))</f>
        <v>0</v>
      </c>
    </row>
    <row r="35" spans="1:2">
      <c r="B35" t="str">
        <f>IF('Ипотечный калькулятор'!$C$4="Квартира на первичном рынке","-",
IF('Ипотечный калькулятор'!$C$4="Госпрограмма. Льготная ипотека","-",
IF('Ипотечный калькулятор'!$C$4="Квартира на вторичном рынке","-",
IF('Ипотечный калькулятор'!$C$4="Рефинансирование ипотеки","-",
IF('Ипотечный калькулятор'!$C$4="Рефинансирование ипотеки с консолидацией","-",
IF('Ипотечный калькулятор'!$C$4="Кредит под ставку ипотеки","-",
IF('Ипотечный калькулятор'!$C$4="Кредит под залог недвижимости","-",
IF('Ипотечный калькулятор'!$C$4="Новостройка. Семейная ипотека","-",
IF('Ипотечный калькулятор'!$C$4="Рефинансирование. Семейная ипотека","-",
IF('Ипотечный калькулятор'!$C$4="Ипотека на покупку дома",'Ипотека на покупку дома'!$B$5,
IF('Ипотечный калькулятор'!$C$4="Ипотека для IT специалистов",ИТ!$B$5,
IF('Ипотечный калькулятор'!$C$4="Коммерческая недвижимость","-"
))))))))))))</f>
        <v>-</v>
      </c>
    </row>
    <row r="37" spans="1:2">
      <c r="A37" s="12" t="s">
        <v>48</v>
      </c>
      <c r="B37">
        <f>IF('Ипотечный калькулятор'!$C$4="Квартира на первичном рынке",Новостройка!$B$6,
IF('Ипотечный калькулятор'!$C$4="Госпрограмма. Льготная ипотека",'Ипотека с господдержкой'!$B$6,
IF('Ипотечный калькулятор'!$C$4="Квартира на вторичном рынке",'Вторичный рынок'!$B$6,
IF('Ипотечный калькулятор'!C4="Рефинансирование ипотеки",Рефинансирование!$B$8,
IF('Ипотечный калькулятор'!C4="Кредит под залог недвижимости",'Кредит под залог недвижимости'!$B$6,
IF('Ипотечный калькулятор'!C4="Рефинансирование ипотеки с консолидацией",'Рефин с консолидацией и доп ден'!$B$7,
IF('Ипотечный калькулятор'!C4="Новостройка. Семейная ипотека",'Семейная ипотека'!$B$6,
IF('Ипотечный калькулятор'!C4="Рефинансирование. Семейная ипотека",'Рефин (Семейная)'!$B$6,
IF('Ипотечный калькулятор'!$C$4="Ипотека на покупку дома",'Ипотека на покупку дома'!$B$6,
IF('Ипотечный калькулятор'!$C$4="Ипотека для IT специалистов",ИТ!$B$6,
IF('Ипотечный калькулятор'!$C$4="Коммерческая недвижимость",'Коммерческая недвижимость'!$B$6
)))))))))))</f>
        <v>0.29000000000000004</v>
      </c>
    </row>
    <row r="38" spans="1:2">
      <c r="A38" s="12" t="s">
        <v>52</v>
      </c>
      <c r="B38">
        <f>IF('Ипотечный калькулятор'!$C$4="Квартира на первичном рынке",Новостройка!$B$10,
IF('Ипотечный калькулятор'!$C$4="Госпрограмма. Льготная ипотека",'Ипотека с господдержкой'!$B$10,
IF('Ипотечный калькулятор'!$C$4="Квартира на вторичном рынке",'Вторичный рынок'!B10,
IF('Ипотечный калькулятор'!C4="Рефинансирование ипотеки",Рефинансирование!$B$12,
IF('Ипотечный калькулятор'!C4="Кредит под залог недвижимости",'Кредит под залог недвижимости'!B10,
IF('Ипотечный калькулятор'!C4="Рефинансирование ипотеки с консолидацией",'Рефин с консолидацией и доп ден'!B11,
IF('Ипотечный калькулятор'!C4="Новостройка. Семейная ипотека",'Семейная ипотека'!B10,
IF('Ипотечный калькулятор'!C4="Рефинансирование. Семейная ипотека",'Рефин (Семейная)'!B10,
IF('Ипотечный калькулятор'!C4="Ипотека на покупку дома",'Ипотека на покупку дома'!$B$10,
IF('Ипотечный калькулятор'!C4="Ипотека для IT специалистов",ИТ!$B$10,
IF('Ипотечный калькулятор'!C4="Коммерческая недвижимость",'Коммерческая недвижимость'!$B$10
)))))))))))</f>
        <v>169717.18651597371</v>
      </c>
    </row>
    <row r="39" spans="1:2" ht="15.75" thickBot="1">
      <c r="A39" s="20" t="s">
        <v>53</v>
      </c>
      <c r="B39">
        <f>IF('Ипотечный калькулятор'!$C$4="Квартира на первичном рынке",Новостройка!$B$11,
IF('Ипотечный калькулятор'!$C$4="Госпрограмма. Льготная ипотека",'Ипотека с господдержкой'!$B$11,
IF('Ипотечный калькулятор'!$C$4="Квартира на вторичном рынке",'Вторичный рынок'!$B$11,
IF('Ипотечный калькулятор'!C4="Рефинансирование ипотеки",Рефинансирование!$B$13,
IF('Ипотечный калькулятор'!C4="Кредит под залог недвижимости",'Кредит под залог недвижимости'!$B$11,
IF('Ипотечный калькулятор'!C4="Рефинансирование ипотеки с консолидацией",'Рефин с консолидацией и доп ден'!B12,
IF('Ипотечный калькулятор'!C4="Новостройка. Семейная ипотека",'Семейная ипотека'!B11,
IF('Ипотечный калькулятор'!C4="Рефинансирование. Семейная ипотека",'Рефин (Семейная)'!B11,
IF('Ипотечный калькулятор'!C4="Ипотека на покупку дома",'Ипотека на покупку дома'!$B$11,
IF('Ипотечный калькулятор'!C4="Ипотека для IT специалистов",ИТ!$B$11,
IF('Ипотечный калькулятор'!C4="Коммерческая недвижимость",'Коммерческая недвижимость'!$B$11
)))))))))))</f>
        <v>33732124.763833687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7"/>
  <dimension ref="B2:M425"/>
  <sheetViews>
    <sheetView topLeftCell="B1" workbookViewId="0">
      <selection activeCell="N20" sqref="N20"/>
    </sheetView>
  </sheetViews>
  <sheetFormatPr defaultRowHeight="15"/>
  <cols>
    <col min="2" max="2" width="39.42578125" bestFit="1" customWidth="1"/>
    <col min="3" max="3" width="27.140625" bestFit="1" customWidth="1"/>
    <col min="4" max="4" width="51.7109375" bestFit="1" customWidth="1"/>
    <col min="10" max="10" width="27.42578125" bestFit="1" customWidth="1"/>
    <col min="11" max="11" width="10.28515625" bestFit="1" customWidth="1"/>
    <col min="12" max="12" width="33.5703125" bestFit="1" customWidth="1"/>
  </cols>
  <sheetData>
    <row r="2" spans="2:13">
      <c r="B2" t="s">
        <v>106</v>
      </c>
      <c r="C2" t="s">
        <v>107</v>
      </c>
      <c r="D2" t="s">
        <v>78</v>
      </c>
      <c r="E2" t="s">
        <v>108</v>
      </c>
      <c r="H2" t="s">
        <v>109</v>
      </c>
    </row>
    <row r="3" spans="2:13">
      <c r="B3" s="65" t="s">
        <v>80</v>
      </c>
      <c r="C3" s="65" t="s">
        <v>80</v>
      </c>
      <c r="D3" s="65" t="s">
        <v>80</v>
      </c>
      <c r="E3" s="65" t="s">
        <v>80</v>
      </c>
      <c r="L3" t="s">
        <v>110</v>
      </c>
      <c r="M3" t="s">
        <v>111</v>
      </c>
    </row>
    <row r="4" spans="2:13">
      <c r="B4" t="s">
        <v>112</v>
      </c>
      <c r="C4" t="s">
        <v>113</v>
      </c>
      <c r="D4" t="s">
        <v>79</v>
      </c>
      <c r="E4" t="s">
        <v>114</v>
      </c>
      <c r="K4" t="e">
        <f>FIND(LOWER('Ипотечный калькулятор'!$C$52),LOWER(C4))</f>
        <v>#VALUE!</v>
      </c>
      <c r="L4" t="str">
        <f>IF(IFERROR(K4,"")&lt;&gt;"",C4,"")</f>
        <v/>
      </c>
      <c r="M4" t="str">
        <f t="array" aca="1" ref="M4" ca="1">IF(ROW()-ROW($L$4:$L$425)+1&gt;ROWS($L$4:$L$425)-COUNTBLANK($L$4:$L$425),"",INDIRECT(ADDRESS(SMALL((IF($L$4:$L$425&lt;&gt;"",ROW($L$4:$L$425),ROW()+ROWS($L$4:$L$425))),ROW()-ROW($M$4:$M$5)+1),COLUMN($L$4:$L$425),4)))</f>
        <v>Электроугли</v>
      </c>
    </row>
    <row r="5" spans="2:13">
      <c r="B5" t="s">
        <v>115</v>
      </c>
      <c r="C5" t="s">
        <v>116</v>
      </c>
      <c r="D5" t="s">
        <v>117</v>
      </c>
      <c r="E5" t="s">
        <v>118</v>
      </c>
      <c r="K5" t="e">
        <f>FIND(LOWER('Ипотечный калькулятор'!$C$52),LOWER(C5))</f>
        <v>#VALUE!</v>
      </c>
      <c r="L5" t="str">
        <f t="shared" ref="L5:L68" si="0">IF(IFERROR(K5,"")&lt;&gt;"",C5,"")</f>
        <v/>
      </c>
    </row>
    <row r="6" spans="2:13">
      <c r="B6" t="s">
        <v>119</v>
      </c>
      <c r="C6" t="s">
        <v>120</v>
      </c>
      <c r="D6" t="s">
        <v>121</v>
      </c>
      <c r="E6" t="s">
        <v>122</v>
      </c>
      <c r="K6" t="e">
        <f>FIND(LOWER('Ипотечный калькулятор'!$C$52),LOWER(C6))</f>
        <v>#VALUE!</v>
      </c>
      <c r="L6" t="str">
        <f t="shared" si="0"/>
        <v/>
      </c>
    </row>
    <row r="7" spans="2:13">
      <c r="B7" t="s">
        <v>123</v>
      </c>
      <c r="C7" t="s">
        <v>124</v>
      </c>
      <c r="E7" t="s">
        <v>125</v>
      </c>
      <c r="K7" t="e">
        <f>FIND(LOWER('Ипотечный калькулятор'!$C$52),LOWER(C7))</f>
        <v>#VALUE!</v>
      </c>
      <c r="L7" t="str">
        <f>IF(IFERROR(K7,"")&lt;&gt;"",C7,"")</f>
        <v/>
      </c>
    </row>
    <row r="8" spans="2:13">
      <c r="B8" t="s">
        <v>126</v>
      </c>
      <c r="C8" t="s">
        <v>127</v>
      </c>
      <c r="K8" t="e">
        <f>FIND(LOWER('Ипотечный калькулятор'!$C$52),LOWER(C8))</f>
        <v>#VALUE!</v>
      </c>
      <c r="L8" t="str">
        <f t="shared" si="0"/>
        <v/>
      </c>
    </row>
    <row r="9" spans="2:13">
      <c r="B9" t="s">
        <v>100</v>
      </c>
      <c r="C9" t="s">
        <v>128</v>
      </c>
      <c r="K9" t="e">
        <f>FIND(LOWER('Ипотечный калькулятор'!$C$52),LOWER(C9))</f>
        <v>#VALUE!</v>
      </c>
      <c r="L9" t="str">
        <f t="shared" si="0"/>
        <v/>
      </c>
    </row>
    <row r="10" spans="2:13">
      <c r="B10" t="s">
        <v>129</v>
      </c>
      <c r="C10" t="s">
        <v>130</v>
      </c>
      <c r="K10" t="e">
        <f>FIND(LOWER('Ипотечный калькулятор'!$C$52),LOWER(C10))</f>
        <v>#VALUE!</v>
      </c>
      <c r="L10" t="str">
        <f t="shared" si="0"/>
        <v/>
      </c>
    </row>
    <row r="11" spans="2:13">
      <c r="B11" t="s">
        <v>131</v>
      </c>
      <c r="C11" t="s">
        <v>132</v>
      </c>
      <c r="K11" t="e">
        <f>FIND(LOWER('Ипотечный калькулятор'!$C$52),LOWER(C11))</f>
        <v>#VALUE!</v>
      </c>
      <c r="L11" t="str">
        <f t="shared" si="0"/>
        <v/>
      </c>
    </row>
    <row r="12" spans="2:13">
      <c r="B12" t="s">
        <v>133</v>
      </c>
      <c r="C12" t="s">
        <v>134</v>
      </c>
      <c r="K12" t="e">
        <f>FIND(LOWER('Ипотечный калькулятор'!$C$52),LOWER(C12))</f>
        <v>#VALUE!</v>
      </c>
      <c r="L12" t="str">
        <f t="shared" si="0"/>
        <v/>
      </c>
    </row>
    <row r="13" spans="2:13">
      <c r="B13" t="s">
        <v>135</v>
      </c>
      <c r="C13" t="s">
        <v>136</v>
      </c>
      <c r="K13" t="e">
        <f>FIND(LOWER('Ипотечный калькулятор'!$C$52),LOWER(C13))</f>
        <v>#VALUE!</v>
      </c>
      <c r="L13" t="str">
        <f t="shared" si="0"/>
        <v/>
      </c>
    </row>
    <row r="14" spans="2:13">
      <c r="B14" t="s">
        <v>137</v>
      </c>
      <c r="C14" t="s">
        <v>138</v>
      </c>
      <c r="K14" t="e">
        <f>FIND(LOWER('Ипотечный калькулятор'!$C$52),LOWER(C14))</f>
        <v>#VALUE!</v>
      </c>
      <c r="L14" t="str">
        <f t="shared" si="0"/>
        <v/>
      </c>
    </row>
    <row r="15" spans="2:13">
      <c r="B15" t="s">
        <v>139</v>
      </c>
      <c r="C15" t="s">
        <v>140</v>
      </c>
      <c r="K15" t="e">
        <f>FIND(LOWER('Ипотечный калькулятор'!$C$52),LOWER(C15))</f>
        <v>#VALUE!</v>
      </c>
      <c r="L15" t="str">
        <f t="shared" si="0"/>
        <v/>
      </c>
    </row>
    <row r="16" spans="2:13">
      <c r="C16" t="s">
        <v>141</v>
      </c>
      <c r="K16" t="e">
        <f>FIND(LOWER('Ипотечный калькулятор'!$C$52),LOWER(C16))</f>
        <v>#VALUE!</v>
      </c>
      <c r="L16" t="str">
        <f t="shared" si="0"/>
        <v/>
      </c>
    </row>
    <row r="17" spans="3:12">
      <c r="C17" t="s">
        <v>142</v>
      </c>
      <c r="K17" t="e">
        <f>FIND(LOWER('Ипотечный калькулятор'!$C$52),LOWER(C17))</f>
        <v>#VALUE!</v>
      </c>
      <c r="L17" t="str">
        <f t="shared" si="0"/>
        <v/>
      </c>
    </row>
    <row r="18" spans="3:12">
      <c r="C18" t="s">
        <v>143</v>
      </c>
      <c r="K18" t="e">
        <f>FIND(LOWER('Ипотечный калькулятор'!$C$52),LOWER(C18))</f>
        <v>#VALUE!</v>
      </c>
      <c r="L18" t="str">
        <f t="shared" si="0"/>
        <v/>
      </c>
    </row>
    <row r="19" spans="3:12">
      <c r="C19" t="s">
        <v>144</v>
      </c>
      <c r="K19" t="e">
        <f>FIND(LOWER('Ипотечный калькулятор'!$C$52),LOWER(C19))</f>
        <v>#VALUE!</v>
      </c>
      <c r="L19" t="str">
        <f t="shared" si="0"/>
        <v/>
      </c>
    </row>
    <row r="20" spans="3:12">
      <c r="C20" t="s">
        <v>145</v>
      </c>
      <c r="K20" t="e">
        <f>FIND(LOWER('Ипотечный калькулятор'!$C$52),LOWER(C20))</f>
        <v>#VALUE!</v>
      </c>
      <c r="L20" t="str">
        <f t="shared" si="0"/>
        <v/>
      </c>
    </row>
    <row r="21" spans="3:12">
      <c r="C21" t="s">
        <v>146</v>
      </c>
      <c r="K21" t="e">
        <f>FIND(LOWER('Ипотечный калькулятор'!$C$52),LOWER(C21))</f>
        <v>#VALUE!</v>
      </c>
      <c r="L21" t="str">
        <f t="shared" si="0"/>
        <v/>
      </c>
    </row>
    <row r="22" spans="3:12">
      <c r="C22" t="s">
        <v>147</v>
      </c>
      <c r="K22" t="e">
        <f>FIND(LOWER('Ипотечный калькулятор'!$C$52),LOWER(C22))</f>
        <v>#VALUE!</v>
      </c>
      <c r="L22" t="str">
        <f t="shared" si="0"/>
        <v/>
      </c>
    </row>
    <row r="23" spans="3:12">
      <c r="C23" t="s">
        <v>148</v>
      </c>
      <c r="K23" t="e">
        <f>FIND(LOWER('Ипотечный калькулятор'!$C$52),LOWER(C23))</f>
        <v>#VALUE!</v>
      </c>
      <c r="L23" t="str">
        <f t="shared" si="0"/>
        <v/>
      </c>
    </row>
    <row r="24" spans="3:12">
      <c r="C24" t="s">
        <v>149</v>
      </c>
      <c r="K24" t="e">
        <f>FIND(LOWER('Ипотечный калькулятор'!$C$52),LOWER(C24))</f>
        <v>#VALUE!</v>
      </c>
      <c r="L24" t="str">
        <f t="shared" si="0"/>
        <v/>
      </c>
    </row>
    <row r="25" spans="3:12">
      <c r="C25" t="s">
        <v>150</v>
      </c>
      <c r="K25" t="e">
        <f>FIND(LOWER('Ипотечный калькулятор'!$C$52),LOWER(C25))</f>
        <v>#VALUE!</v>
      </c>
      <c r="L25" t="str">
        <f t="shared" si="0"/>
        <v/>
      </c>
    </row>
    <row r="26" spans="3:12">
      <c r="C26" t="s">
        <v>151</v>
      </c>
      <c r="K26" t="e">
        <f>FIND(LOWER('Ипотечный калькулятор'!$C$52),LOWER(C26))</f>
        <v>#VALUE!</v>
      </c>
      <c r="L26" t="str">
        <f t="shared" si="0"/>
        <v/>
      </c>
    </row>
    <row r="27" spans="3:12">
      <c r="C27" t="s">
        <v>152</v>
      </c>
      <c r="K27" t="e">
        <f>FIND(LOWER('Ипотечный калькулятор'!$C$52),LOWER(C27))</f>
        <v>#VALUE!</v>
      </c>
      <c r="L27" t="str">
        <f t="shared" si="0"/>
        <v/>
      </c>
    </row>
    <row r="28" spans="3:12">
      <c r="C28" t="s">
        <v>153</v>
      </c>
      <c r="K28" t="e">
        <f>FIND(LOWER('Ипотечный калькулятор'!$C$52),LOWER(C28))</f>
        <v>#VALUE!</v>
      </c>
      <c r="L28" t="str">
        <f t="shared" si="0"/>
        <v/>
      </c>
    </row>
    <row r="29" spans="3:12">
      <c r="C29" t="s">
        <v>154</v>
      </c>
      <c r="K29" t="e">
        <f>FIND(LOWER('Ипотечный калькулятор'!$C$52),LOWER(C29))</f>
        <v>#VALUE!</v>
      </c>
      <c r="L29" t="str">
        <f t="shared" si="0"/>
        <v/>
      </c>
    </row>
    <row r="30" spans="3:12">
      <c r="C30" t="s">
        <v>155</v>
      </c>
      <c r="K30" t="e">
        <f>FIND(LOWER('Ипотечный калькулятор'!$C$52),LOWER(C30))</f>
        <v>#VALUE!</v>
      </c>
      <c r="L30" t="str">
        <f t="shared" si="0"/>
        <v/>
      </c>
    </row>
    <row r="31" spans="3:12">
      <c r="C31" t="s">
        <v>156</v>
      </c>
      <c r="K31" t="e">
        <f>FIND(LOWER('Ипотечный калькулятор'!$C$52),LOWER(C31))</f>
        <v>#VALUE!</v>
      </c>
      <c r="L31" t="str">
        <f t="shared" si="0"/>
        <v/>
      </c>
    </row>
    <row r="32" spans="3:12">
      <c r="C32" t="s">
        <v>157</v>
      </c>
      <c r="K32" t="e">
        <f>FIND(LOWER('Ипотечный калькулятор'!$C$52),LOWER(C32))</f>
        <v>#VALUE!</v>
      </c>
      <c r="L32" t="str">
        <f t="shared" si="0"/>
        <v/>
      </c>
    </row>
    <row r="33" spans="3:12">
      <c r="C33" t="s">
        <v>158</v>
      </c>
      <c r="K33" t="e">
        <f>FIND(LOWER('Ипотечный калькулятор'!$C$52),LOWER(C33))</f>
        <v>#VALUE!</v>
      </c>
      <c r="L33" t="str">
        <f t="shared" si="0"/>
        <v/>
      </c>
    </row>
    <row r="34" spans="3:12">
      <c r="C34" t="s">
        <v>159</v>
      </c>
      <c r="K34" t="e">
        <f>FIND(LOWER('Ипотечный калькулятор'!$C$52),LOWER(C34))</f>
        <v>#VALUE!</v>
      </c>
      <c r="L34" t="str">
        <f t="shared" si="0"/>
        <v/>
      </c>
    </row>
    <row r="35" spans="3:12">
      <c r="C35" t="s">
        <v>160</v>
      </c>
      <c r="K35" t="e">
        <f>FIND(LOWER('Ипотечный калькулятор'!$C$52),LOWER(C35))</f>
        <v>#VALUE!</v>
      </c>
      <c r="L35" t="str">
        <f t="shared" si="0"/>
        <v/>
      </c>
    </row>
    <row r="36" spans="3:12">
      <c r="C36" t="s">
        <v>161</v>
      </c>
      <c r="K36" t="e">
        <f>FIND(LOWER('Ипотечный калькулятор'!$C$52),LOWER(C36))</f>
        <v>#VALUE!</v>
      </c>
      <c r="L36" t="str">
        <f t="shared" si="0"/>
        <v/>
      </c>
    </row>
    <row r="37" spans="3:12">
      <c r="C37" t="s">
        <v>162</v>
      </c>
      <c r="K37" t="e">
        <f>FIND(LOWER('Ипотечный калькулятор'!$C$52),LOWER(C37))</f>
        <v>#VALUE!</v>
      </c>
      <c r="L37" t="str">
        <f t="shared" si="0"/>
        <v/>
      </c>
    </row>
    <row r="38" spans="3:12">
      <c r="C38" t="s">
        <v>163</v>
      </c>
      <c r="K38" t="e">
        <f>FIND(LOWER('Ипотечный калькулятор'!$C$52),LOWER(C38))</f>
        <v>#VALUE!</v>
      </c>
      <c r="L38" t="str">
        <f t="shared" si="0"/>
        <v/>
      </c>
    </row>
    <row r="39" spans="3:12">
      <c r="C39" t="s">
        <v>164</v>
      </c>
      <c r="K39" t="e">
        <f>FIND(LOWER('Ипотечный калькулятор'!$C$52),LOWER(C39))</f>
        <v>#VALUE!</v>
      </c>
      <c r="L39" t="str">
        <f t="shared" si="0"/>
        <v/>
      </c>
    </row>
    <row r="40" spans="3:12">
      <c r="C40" t="s">
        <v>165</v>
      </c>
      <c r="K40" t="e">
        <f>FIND(LOWER('Ипотечный калькулятор'!$C$52),LOWER(C40))</f>
        <v>#VALUE!</v>
      </c>
      <c r="L40" t="str">
        <f t="shared" si="0"/>
        <v/>
      </c>
    </row>
    <row r="41" spans="3:12">
      <c r="C41" t="s">
        <v>166</v>
      </c>
      <c r="K41" t="e">
        <f>FIND(LOWER('Ипотечный калькулятор'!$C$52),LOWER(C41))</f>
        <v>#VALUE!</v>
      </c>
      <c r="L41" t="str">
        <f t="shared" si="0"/>
        <v/>
      </c>
    </row>
    <row r="42" spans="3:12">
      <c r="C42" t="s">
        <v>167</v>
      </c>
      <c r="K42" t="e">
        <f>FIND(LOWER('Ипотечный калькулятор'!$C$52),LOWER(C42))</f>
        <v>#VALUE!</v>
      </c>
      <c r="L42" t="str">
        <f t="shared" si="0"/>
        <v/>
      </c>
    </row>
    <row r="43" spans="3:12">
      <c r="C43" t="s">
        <v>168</v>
      </c>
      <c r="K43" t="e">
        <f>FIND(LOWER('Ипотечный калькулятор'!$C$52),LOWER(C43))</f>
        <v>#VALUE!</v>
      </c>
      <c r="L43" t="str">
        <f t="shared" si="0"/>
        <v/>
      </c>
    </row>
    <row r="44" spans="3:12">
      <c r="C44" t="s">
        <v>169</v>
      </c>
      <c r="K44" t="e">
        <f>FIND(LOWER('Ипотечный калькулятор'!$C$52),LOWER(C44))</f>
        <v>#VALUE!</v>
      </c>
      <c r="L44" t="str">
        <f t="shared" si="0"/>
        <v/>
      </c>
    </row>
    <row r="45" spans="3:12">
      <c r="C45" t="s">
        <v>170</v>
      </c>
      <c r="K45" t="e">
        <f>FIND(LOWER('Ипотечный калькулятор'!$C$52),LOWER(C45))</f>
        <v>#VALUE!</v>
      </c>
      <c r="L45" t="str">
        <f t="shared" si="0"/>
        <v/>
      </c>
    </row>
    <row r="46" spans="3:12">
      <c r="C46" t="s">
        <v>171</v>
      </c>
      <c r="K46" t="e">
        <f>FIND(LOWER('Ипотечный калькулятор'!$C$52),LOWER(C46))</f>
        <v>#VALUE!</v>
      </c>
      <c r="L46" t="str">
        <f t="shared" si="0"/>
        <v/>
      </c>
    </row>
    <row r="47" spans="3:12">
      <c r="C47" t="s">
        <v>172</v>
      </c>
      <c r="K47" t="e">
        <f>FIND(LOWER('Ипотечный калькулятор'!$C$52),LOWER(C47))</f>
        <v>#VALUE!</v>
      </c>
      <c r="L47" t="str">
        <f t="shared" si="0"/>
        <v/>
      </c>
    </row>
    <row r="48" spans="3:12">
      <c r="C48" t="s">
        <v>173</v>
      </c>
      <c r="K48" t="e">
        <f>FIND(LOWER('Ипотечный калькулятор'!$C$52),LOWER(C48))</f>
        <v>#VALUE!</v>
      </c>
      <c r="L48" t="str">
        <f t="shared" si="0"/>
        <v/>
      </c>
    </row>
    <row r="49" spans="3:12">
      <c r="C49" t="s">
        <v>174</v>
      </c>
      <c r="K49" t="e">
        <f>FIND(LOWER('Ипотечный калькулятор'!$C$52),LOWER(C49))</f>
        <v>#VALUE!</v>
      </c>
      <c r="L49" t="str">
        <f t="shared" si="0"/>
        <v/>
      </c>
    </row>
    <row r="50" spans="3:12">
      <c r="C50" t="s">
        <v>175</v>
      </c>
      <c r="K50" t="e">
        <f>FIND(LOWER('Ипотечный калькулятор'!$C$52),LOWER(C50))</f>
        <v>#VALUE!</v>
      </c>
      <c r="L50" t="str">
        <f t="shared" si="0"/>
        <v/>
      </c>
    </row>
    <row r="51" spans="3:12">
      <c r="C51" t="s">
        <v>176</v>
      </c>
      <c r="K51" t="e">
        <f>FIND(LOWER('Ипотечный калькулятор'!$C$52),LOWER(C51))</f>
        <v>#VALUE!</v>
      </c>
      <c r="L51" t="str">
        <f t="shared" si="0"/>
        <v/>
      </c>
    </row>
    <row r="52" spans="3:12">
      <c r="C52" t="s">
        <v>177</v>
      </c>
      <c r="K52" t="e">
        <f>FIND(LOWER('Ипотечный калькулятор'!$C$52),LOWER(C52))</f>
        <v>#VALUE!</v>
      </c>
      <c r="L52" t="str">
        <f t="shared" si="0"/>
        <v/>
      </c>
    </row>
    <row r="53" spans="3:12">
      <c r="C53" t="s">
        <v>178</v>
      </c>
      <c r="K53" t="e">
        <f>FIND(LOWER('Ипотечный калькулятор'!$C$52),LOWER(C53))</f>
        <v>#VALUE!</v>
      </c>
      <c r="L53" t="str">
        <f t="shared" si="0"/>
        <v/>
      </c>
    </row>
    <row r="54" spans="3:12">
      <c r="C54" t="s">
        <v>179</v>
      </c>
      <c r="K54" t="e">
        <f>FIND(LOWER('Ипотечный калькулятор'!$C$52),LOWER(C54))</f>
        <v>#VALUE!</v>
      </c>
      <c r="L54" t="str">
        <f t="shared" si="0"/>
        <v/>
      </c>
    </row>
    <row r="55" spans="3:12">
      <c r="C55" t="s">
        <v>180</v>
      </c>
      <c r="K55" t="e">
        <f>FIND(LOWER('Ипотечный калькулятор'!$C$52),LOWER(C55))</f>
        <v>#VALUE!</v>
      </c>
      <c r="L55" t="str">
        <f t="shared" si="0"/>
        <v/>
      </c>
    </row>
    <row r="56" spans="3:12">
      <c r="C56" t="s">
        <v>181</v>
      </c>
      <c r="K56" t="e">
        <f>FIND(LOWER('Ипотечный калькулятор'!$C$52),LOWER(C56))</f>
        <v>#VALUE!</v>
      </c>
      <c r="L56" t="str">
        <f t="shared" si="0"/>
        <v/>
      </c>
    </row>
    <row r="57" spans="3:12">
      <c r="C57" t="s">
        <v>182</v>
      </c>
      <c r="K57" t="e">
        <f>FIND(LOWER('Ипотечный калькулятор'!$C$52),LOWER(C57))</f>
        <v>#VALUE!</v>
      </c>
      <c r="L57" t="str">
        <f t="shared" si="0"/>
        <v/>
      </c>
    </row>
    <row r="58" spans="3:12">
      <c r="C58" t="s">
        <v>183</v>
      </c>
      <c r="K58" t="e">
        <f>FIND(LOWER('Ипотечный калькулятор'!$C$52),LOWER(C58))</f>
        <v>#VALUE!</v>
      </c>
      <c r="L58" t="str">
        <f t="shared" si="0"/>
        <v/>
      </c>
    </row>
    <row r="59" spans="3:12">
      <c r="C59" t="s">
        <v>184</v>
      </c>
      <c r="K59" t="e">
        <f>FIND(LOWER('Ипотечный калькулятор'!$C$52),LOWER(C59))</f>
        <v>#VALUE!</v>
      </c>
      <c r="L59" t="str">
        <f t="shared" si="0"/>
        <v/>
      </c>
    </row>
    <row r="60" spans="3:12">
      <c r="C60" t="s">
        <v>185</v>
      </c>
      <c r="K60" t="e">
        <f>FIND(LOWER('Ипотечный калькулятор'!$C$52),LOWER(C60))</f>
        <v>#VALUE!</v>
      </c>
      <c r="L60" t="str">
        <f t="shared" si="0"/>
        <v/>
      </c>
    </row>
    <row r="61" spans="3:12">
      <c r="C61" t="s">
        <v>186</v>
      </c>
      <c r="K61" t="e">
        <f>FIND(LOWER('Ипотечный калькулятор'!$C$52),LOWER(C61))</f>
        <v>#VALUE!</v>
      </c>
      <c r="L61" t="str">
        <f t="shared" si="0"/>
        <v/>
      </c>
    </row>
    <row r="62" spans="3:12">
      <c r="C62" t="s">
        <v>187</v>
      </c>
      <c r="K62" t="e">
        <f>FIND(LOWER('Ипотечный калькулятор'!$C$52),LOWER(C62))</f>
        <v>#VALUE!</v>
      </c>
      <c r="L62" t="str">
        <f t="shared" si="0"/>
        <v/>
      </c>
    </row>
    <row r="63" spans="3:12">
      <c r="C63" t="s">
        <v>188</v>
      </c>
      <c r="K63" t="e">
        <f>FIND(LOWER('Ипотечный калькулятор'!$C$52),LOWER(C63))</f>
        <v>#VALUE!</v>
      </c>
      <c r="L63" t="str">
        <f t="shared" si="0"/>
        <v/>
      </c>
    </row>
    <row r="64" spans="3:12">
      <c r="C64" t="s">
        <v>189</v>
      </c>
      <c r="K64" t="e">
        <f>FIND(LOWER('Ипотечный калькулятор'!$C$52),LOWER(C64))</f>
        <v>#VALUE!</v>
      </c>
      <c r="L64" t="str">
        <f t="shared" si="0"/>
        <v/>
      </c>
    </row>
    <row r="65" spans="3:12">
      <c r="C65" t="s">
        <v>190</v>
      </c>
      <c r="K65" t="e">
        <f>FIND(LOWER('Ипотечный калькулятор'!$C$52),LOWER(C65))</f>
        <v>#VALUE!</v>
      </c>
      <c r="L65" t="str">
        <f t="shared" si="0"/>
        <v/>
      </c>
    </row>
    <row r="66" spans="3:12">
      <c r="C66" t="s">
        <v>191</v>
      </c>
      <c r="K66" t="e">
        <f>FIND(LOWER('Ипотечный калькулятор'!$C$52),LOWER(C66))</f>
        <v>#VALUE!</v>
      </c>
      <c r="L66" t="str">
        <f t="shared" si="0"/>
        <v/>
      </c>
    </row>
    <row r="67" spans="3:12">
      <c r="C67" t="s">
        <v>192</v>
      </c>
      <c r="K67" t="e">
        <f>FIND(LOWER('Ипотечный калькулятор'!$C$52),LOWER(C67))</f>
        <v>#VALUE!</v>
      </c>
      <c r="L67" t="str">
        <f t="shared" si="0"/>
        <v/>
      </c>
    </row>
    <row r="68" spans="3:12">
      <c r="C68" t="s">
        <v>193</v>
      </c>
      <c r="K68" t="e">
        <f>FIND(LOWER('Ипотечный калькулятор'!$C$52),LOWER(C68))</f>
        <v>#VALUE!</v>
      </c>
      <c r="L68" t="str">
        <f t="shared" si="0"/>
        <v/>
      </c>
    </row>
    <row r="69" spans="3:12">
      <c r="C69" t="s">
        <v>194</v>
      </c>
      <c r="K69" t="e">
        <f>FIND(LOWER('Ипотечный калькулятор'!$C$52),LOWER(C69))</f>
        <v>#VALUE!</v>
      </c>
      <c r="L69" t="str">
        <f t="shared" ref="L69:L132" si="1">IF(IFERROR(K69,"")&lt;&gt;"",C69,"")</f>
        <v/>
      </c>
    </row>
    <row r="70" spans="3:12">
      <c r="C70" t="s">
        <v>195</v>
      </c>
      <c r="K70" t="e">
        <f>FIND(LOWER('Ипотечный калькулятор'!$C$52),LOWER(C70))</f>
        <v>#VALUE!</v>
      </c>
      <c r="L70" t="str">
        <f t="shared" si="1"/>
        <v/>
      </c>
    </row>
    <row r="71" spans="3:12">
      <c r="C71" t="s">
        <v>196</v>
      </c>
      <c r="K71" t="e">
        <f>FIND(LOWER('Ипотечный калькулятор'!$C$52),LOWER(C71))</f>
        <v>#VALUE!</v>
      </c>
      <c r="L71" t="str">
        <f t="shared" si="1"/>
        <v/>
      </c>
    </row>
    <row r="72" spans="3:12">
      <c r="C72" t="s">
        <v>197</v>
      </c>
      <c r="K72" t="e">
        <f>FIND(LOWER('Ипотечный калькулятор'!$C$52),LOWER(C72))</f>
        <v>#VALUE!</v>
      </c>
      <c r="L72" t="str">
        <f t="shared" si="1"/>
        <v/>
      </c>
    </row>
    <row r="73" spans="3:12">
      <c r="C73" t="s">
        <v>198</v>
      </c>
      <c r="K73" t="e">
        <f>FIND(LOWER('Ипотечный калькулятор'!$C$52),LOWER(C73))</f>
        <v>#VALUE!</v>
      </c>
      <c r="L73" t="str">
        <f t="shared" si="1"/>
        <v/>
      </c>
    </row>
    <row r="74" spans="3:12">
      <c r="C74" t="s">
        <v>199</v>
      </c>
      <c r="K74" t="e">
        <f>FIND(LOWER('Ипотечный калькулятор'!$C$52),LOWER(C74))</f>
        <v>#VALUE!</v>
      </c>
      <c r="L74" t="str">
        <f t="shared" si="1"/>
        <v/>
      </c>
    </row>
    <row r="75" spans="3:12">
      <c r="C75" t="s">
        <v>200</v>
      </c>
      <c r="K75" t="e">
        <f>FIND(LOWER('Ипотечный калькулятор'!$C$52),LOWER(C75))</f>
        <v>#VALUE!</v>
      </c>
      <c r="L75" t="str">
        <f t="shared" si="1"/>
        <v/>
      </c>
    </row>
    <row r="76" spans="3:12">
      <c r="C76" t="s">
        <v>201</v>
      </c>
      <c r="K76" t="e">
        <f>FIND(LOWER('Ипотечный калькулятор'!$C$52),LOWER(C76))</f>
        <v>#VALUE!</v>
      </c>
      <c r="L76" t="str">
        <f t="shared" si="1"/>
        <v/>
      </c>
    </row>
    <row r="77" spans="3:12">
      <c r="C77" t="s">
        <v>202</v>
      </c>
      <c r="K77" t="e">
        <f>FIND(LOWER('Ипотечный калькулятор'!$C$52),LOWER(C77))</f>
        <v>#VALUE!</v>
      </c>
      <c r="L77" t="str">
        <f t="shared" si="1"/>
        <v/>
      </c>
    </row>
    <row r="78" spans="3:12">
      <c r="C78" t="s">
        <v>203</v>
      </c>
      <c r="K78" t="e">
        <f>FIND(LOWER('Ипотечный калькулятор'!$C$52),LOWER(C78))</f>
        <v>#VALUE!</v>
      </c>
      <c r="L78" t="str">
        <f t="shared" si="1"/>
        <v/>
      </c>
    </row>
    <row r="79" spans="3:12">
      <c r="C79" t="s">
        <v>204</v>
      </c>
      <c r="K79" t="e">
        <f>FIND(LOWER('Ипотечный калькулятор'!$C$52),LOWER(C79))</f>
        <v>#VALUE!</v>
      </c>
      <c r="L79" t="str">
        <f t="shared" si="1"/>
        <v/>
      </c>
    </row>
    <row r="80" spans="3:12">
      <c r="C80" t="s">
        <v>205</v>
      </c>
      <c r="K80" t="e">
        <f>FIND(LOWER('Ипотечный калькулятор'!$C$52),LOWER(C80))</f>
        <v>#VALUE!</v>
      </c>
      <c r="L80" t="str">
        <f t="shared" si="1"/>
        <v/>
      </c>
    </row>
    <row r="81" spans="3:12">
      <c r="C81" t="s">
        <v>206</v>
      </c>
      <c r="K81" t="e">
        <f>FIND(LOWER('Ипотечный калькулятор'!$C$52),LOWER(C81))</f>
        <v>#VALUE!</v>
      </c>
      <c r="L81" t="str">
        <f t="shared" si="1"/>
        <v/>
      </c>
    </row>
    <row r="82" spans="3:12">
      <c r="C82" t="s">
        <v>207</v>
      </c>
      <c r="K82" t="e">
        <f>FIND(LOWER('Ипотечный калькулятор'!$C$52),LOWER(C82))</f>
        <v>#VALUE!</v>
      </c>
      <c r="L82" t="str">
        <f t="shared" si="1"/>
        <v/>
      </c>
    </row>
    <row r="83" spans="3:12">
      <c r="C83" t="s">
        <v>208</v>
      </c>
      <c r="K83" t="e">
        <f>FIND(LOWER('Ипотечный калькулятор'!$C$52),LOWER(C83))</f>
        <v>#VALUE!</v>
      </c>
      <c r="L83" t="str">
        <f t="shared" si="1"/>
        <v/>
      </c>
    </row>
    <row r="84" spans="3:12">
      <c r="C84" t="s">
        <v>209</v>
      </c>
      <c r="K84" t="e">
        <f>FIND(LOWER('Ипотечный калькулятор'!$C$52),LOWER(C84))</f>
        <v>#VALUE!</v>
      </c>
      <c r="L84" t="str">
        <f t="shared" si="1"/>
        <v/>
      </c>
    </row>
    <row r="85" spans="3:12">
      <c r="C85" t="s">
        <v>210</v>
      </c>
      <c r="K85" t="e">
        <f>FIND(LOWER('Ипотечный калькулятор'!$C$52),LOWER(C85))</f>
        <v>#VALUE!</v>
      </c>
      <c r="L85" t="str">
        <f t="shared" si="1"/>
        <v/>
      </c>
    </row>
    <row r="86" spans="3:12">
      <c r="C86" t="s">
        <v>211</v>
      </c>
      <c r="K86" t="e">
        <f>FIND(LOWER('Ипотечный калькулятор'!$C$52),LOWER(C86))</f>
        <v>#VALUE!</v>
      </c>
      <c r="L86" t="str">
        <f t="shared" si="1"/>
        <v/>
      </c>
    </row>
    <row r="87" spans="3:12">
      <c r="C87" t="s">
        <v>212</v>
      </c>
      <c r="K87" t="e">
        <f>FIND(LOWER('Ипотечный калькулятор'!$C$52),LOWER(C87))</f>
        <v>#VALUE!</v>
      </c>
      <c r="L87" t="str">
        <f t="shared" si="1"/>
        <v/>
      </c>
    </row>
    <row r="88" spans="3:12">
      <c r="C88" t="s">
        <v>213</v>
      </c>
      <c r="K88" t="e">
        <f>FIND(LOWER('Ипотечный калькулятор'!$C$52),LOWER(C88))</f>
        <v>#VALUE!</v>
      </c>
      <c r="L88" t="str">
        <f t="shared" si="1"/>
        <v/>
      </c>
    </row>
    <row r="89" spans="3:12">
      <c r="C89" t="s">
        <v>214</v>
      </c>
      <c r="K89" t="e">
        <f>FIND(LOWER('Ипотечный калькулятор'!$C$52),LOWER(C89))</f>
        <v>#VALUE!</v>
      </c>
      <c r="L89" t="str">
        <f t="shared" si="1"/>
        <v/>
      </c>
    </row>
    <row r="90" spans="3:12">
      <c r="C90" t="s">
        <v>215</v>
      </c>
      <c r="K90" t="e">
        <f>FIND(LOWER('Ипотечный калькулятор'!$C$52),LOWER(C90))</f>
        <v>#VALUE!</v>
      </c>
      <c r="L90" t="str">
        <f t="shared" si="1"/>
        <v/>
      </c>
    </row>
    <row r="91" spans="3:12">
      <c r="C91" t="s">
        <v>216</v>
      </c>
      <c r="K91" t="e">
        <f>FIND(LOWER('Ипотечный калькулятор'!$C$52),LOWER(C91))</f>
        <v>#VALUE!</v>
      </c>
      <c r="L91" t="str">
        <f t="shared" si="1"/>
        <v/>
      </c>
    </row>
    <row r="92" spans="3:12">
      <c r="C92" t="s">
        <v>217</v>
      </c>
      <c r="K92" t="e">
        <f>FIND(LOWER('Ипотечный калькулятор'!$C$52),LOWER(C92))</f>
        <v>#VALUE!</v>
      </c>
      <c r="L92" t="str">
        <f t="shared" si="1"/>
        <v/>
      </c>
    </row>
    <row r="93" spans="3:12">
      <c r="C93" t="s">
        <v>218</v>
      </c>
      <c r="K93" t="e">
        <f>FIND(LOWER('Ипотечный калькулятор'!$C$52),LOWER(C93))</f>
        <v>#VALUE!</v>
      </c>
      <c r="L93" t="str">
        <f t="shared" si="1"/>
        <v/>
      </c>
    </row>
    <row r="94" spans="3:12">
      <c r="C94" t="s">
        <v>219</v>
      </c>
      <c r="K94" t="e">
        <f>FIND(LOWER('Ипотечный калькулятор'!$C$52),LOWER(C94))</f>
        <v>#VALUE!</v>
      </c>
      <c r="L94" t="str">
        <f t="shared" si="1"/>
        <v/>
      </c>
    </row>
    <row r="95" spans="3:12">
      <c r="C95" t="s">
        <v>220</v>
      </c>
      <c r="K95" t="e">
        <f>FIND(LOWER('Ипотечный калькулятор'!$C$52),LOWER(C95))</f>
        <v>#VALUE!</v>
      </c>
      <c r="L95" t="str">
        <f t="shared" si="1"/>
        <v/>
      </c>
    </row>
    <row r="96" spans="3:12">
      <c r="C96" t="s">
        <v>221</v>
      </c>
      <c r="K96" t="e">
        <f>FIND(LOWER('Ипотечный калькулятор'!$C$52),LOWER(C96))</f>
        <v>#VALUE!</v>
      </c>
      <c r="L96" t="str">
        <f t="shared" si="1"/>
        <v/>
      </c>
    </row>
    <row r="97" spans="3:12">
      <c r="C97" t="s">
        <v>222</v>
      </c>
      <c r="K97" t="e">
        <f>FIND(LOWER('Ипотечный калькулятор'!$C$52),LOWER(C97))</f>
        <v>#VALUE!</v>
      </c>
      <c r="L97" t="str">
        <f t="shared" si="1"/>
        <v/>
      </c>
    </row>
    <row r="98" spans="3:12">
      <c r="C98" t="s">
        <v>223</v>
      </c>
      <c r="K98" t="e">
        <f>FIND(LOWER('Ипотечный калькулятор'!$C$52),LOWER(C98))</f>
        <v>#VALUE!</v>
      </c>
      <c r="L98" t="str">
        <f t="shared" si="1"/>
        <v/>
      </c>
    </row>
    <row r="99" spans="3:12">
      <c r="C99" t="s">
        <v>224</v>
      </c>
      <c r="K99" t="e">
        <f>FIND(LOWER('Ипотечный калькулятор'!$C$52),LOWER(C99))</f>
        <v>#VALUE!</v>
      </c>
      <c r="L99" t="str">
        <f t="shared" si="1"/>
        <v/>
      </c>
    </row>
    <row r="100" spans="3:12">
      <c r="C100" t="s">
        <v>225</v>
      </c>
      <c r="K100" t="e">
        <f>FIND(LOWER('Ипотечный калькулятор'!$C$52),LOWER(C100))</f>
        <v>#VALUE!</v>
      </c>
      <c r="L100" t="str">
        <f t="shared" si="1"/>
        <v/>
      </c>
    </row>
    <row r="101" spans="3:12">
      <c r="C101" t="s">
        <v>226</v>
      </c>
      <c r="K101" t="e">
        <f>FIND(LOWER('Ипотечный калькулятор'!$C$52),LOWER(C101))</f>
        <v>#VALUE!</v>
      </c>
      <c r="L101" t="str">
        <f t="shared" si="1"/>
        <v/>
      </c>
    </row>
    <row r="102" spans="3:12">
      <c r="C102" t="s">
        <v>227</v>
      </c>
      <c r="K102" t="e">
        <f>FIND(LOWER('Ипотечный калькулятор'!$C$52),LOWER(C102))</f>
        <v>#VALUE!</v>
      </c>
      <c r="L102" t="str">
        <f t="shared" si="1"/>
        <v/>
      </c>
    </row>
    <row r="103" spans="3:12">
      <c r="C103" t="s">
        <v>228</v>
      </c>
      <c r="K103" t="e">
        <f>FIND(LOWER('Ипотечный калькулятор'!$C$52),LOWER(C103))</f>
        <v>#VALUE!</v>
      </c>
      <c r="L103" t="str">
        <f t="shared" si="1"/>
        <v/>
      </c>
    </row>
    <row r="104" spans="3:12">
      <c r="C104" t="s">
        <v>229</v>
      </c>
      <c r="K104" t="e">
        <f>FIND(LOWER('Ипотечный калькулятор'!$C$52),LOWER(C104))</f>
        <v>#VALUE!</v>
      </c>
      <c r="L104" t="str">
        <f t="shared" si="1"/>
        <v/>
      </c>
    </row>
    <row r="105" spans="3:12">
      <c r="C105" t="s">
        <v>230</v>
      </c>
      <c r="K105" t="e">
        <f>FIND(LOWER('Ипотечный калькулятор'!$C$52),LOWER(C105))</f>
        <v>#VALUE!</v>
      </c>
      <c r="L105" t="str">
        <f t="shared" si="1"/>
        <v/>
      </c>
    </row>
    <row r="106" spans="3:12">
      <c r="C106" t="s">
        <v>231</v>
      </c>
      <c r="K106" t="e">
        <f>FIND(LOWER('Ипотечный калькулятор'!$C$52),LOWER(C106))</f>
        <v>#VALUE!</v>
      </c>
      <c r="L106" t="str">
        <f t="shared" si="1"/>
        <v/>
      </c>
    </row>
    <row r="107" spans="3:12">
      <c r="C107" t="s">
        <v>232</v>
      </c>
      <c r="K107" t="e">
        <f>FIND(LOWER('Ипотечный калькулятор'!$C$52),LOWER(C107))</f>
        <v>#VALUE!</v>
      </c>
      <c r="L107" t="str">
        <f t="shared" si="1"/>
        <v/>
      </c>
    </row>
    <row r="108" spans="3:12">
      <c r="C108" t="s">
        <v>233</v>
      </c>
      <c r="K108" t="e">
        <f>FIND(LOWER('Ипотечный калькулятор'!$C$52),LOWER(C108))</f>
        <v>#VALUE!</v>
      </c>
      <c r="L108" t="str">
        <f t="shared" si="1"/>
        <v/>
      </c>
    </row>
    <row r="109" spans="3:12">
      <c r="C109" t="s">
        <v>234</v>
      </c>
      <c r="K109" t="e">
        <f>FIND(LOWER('Ипотечный калькулятор'!$C$52),LOWER(C109))</f>
        <v>#VALUE!</v>
      </c>
      <c r="L109" t="str">
        <f t="shared" si="1"/>
        <v/>
      </c>
    </row>
    <row r="110" spans="3:12">
      <c r="C110" t="s">
        <v>235</v>
      </c>
      <c r="K110" t="e">
        <f>FIND(LOWER('Ипотечный калькулятор'!$C$52),LOWER(C110))</f>
        <v>#VALUE!</v>
      </c>
      <c r="L110" t="str">
        <f t="shared" si="1"/>
        <v/>
      </c>
    </row>
    <row r="111" spans="3:12">
      <c r="C111" t="s">
        <v>236</v>
      </c>
      <c r="K111" t="e">
        <f>FIND(LOWER('Ипотечный калькулятор'!$C$52),LOWER(C111))</f>
        <v>#VALUE!</v>
      </c>
      <c r="L111" t="str">
        <f t="shared" si="1"/>
        <v/>
      </c>
    </row>
    <row r="112" spans="3:12">
      <c r="C112" t="s">
        <v>237</v>
      </c>
      <c r="K112" t="e">
        <f>FIND(LOWER('Ипотечный калькулятор'!$C$52),LOWER(C112))</f>
        <v>#VALUE!</v>
      </c>
      <c r="L112" t="str">
        <f t="shared" si="1"/>
        <v/>
      </c>
    </row>
    <row r="113" spans="3:12">
      <c r="C113" t="s">
        <v>238</v>
      </c>
      <c r="K113" t="e">
        <f>FIND(LOWER('Ипотечный калькулятор'!$C$52),LOWER(C113))</f>
        <v>#VALUE!</v>
      </c>
      <c r="L113" t="str">
        <f t="shared" si="1"/>
        <v/>
      </c>
    </row>
    <row r="114" spans="3:12">
      <c r="C114" t="s">
        <v>239</v>
      </c>
      <c r="K114" t="e">
        <f>FIND(LOWER('Ипотечный калькулятор'!$C$52),LOWER(C114))</f>
        <v>#VALUE!</v>
      </c>
      <c r="L114" t="str">
        <f t="shared" si="1"/>
        <v/>
      </c>
    </row>
    <row r="115" spans="3:12">
      <c r="C115" t="s">
        <v>240</v>
      </c>
      <c r="K115" t="e">
        <f>FIND(LOWER('Ипотечный калькулятор'!$C$52),LOWER(C115))</f>
        <v>#VALUE!</v>
      </c>
      <c r="L115" t="str">
        <f t="shared" si="1"/>
        <v/>
      </c>
    </row>
    <row r="116" spans="3:12">
      <c r="C116" t="s">
        <v>241</v>
      </c>
      <c r="K116" t="e">
        <f>FIND(LOWER('Ипотечный калькулятор'!$C$52),LOWER(C116))</f>
        <v>#VALUE!</v>
      </c>
      <c r="L116" t="str">
        <f t="shared" si="1"/>
        <v/>
      </c>
    </row>
    <row r="117" spans="3:12">
      <c r="C117" t="s">
        <v>242</v>
      </c>
      <c r="K117" t="e">
        <f>FIND(LOWER('Ипотечный калькулятор'!$C$52),LOWER(C117))</f>
        <v>#VALUE!</v>
      </c>
      <c r="L117" t="str">
        <f t="shared" si="1"/>
        <v/>
      </c>
    </row>
    <row r="118" spans="3:12">
      <c r="C118" t="s">
        <v>243</v>
      </c>
      <c r="K118" t="e">
        <f>FIND(LOWER('Ипотечный калькулятор'!$C$52),LOWER(C118))</f>
        <v>#VALUE!</v>
      </c>
      <c r="L118" t="str">
        <f t="shared" si="1"/>
        <v/>
      </c>
    </row>
    <row r="119" spans="3:12">
      <c r="C119" t="s">
        <v>244</v>
      </c>
      <c r="K119" t="e">
        <f>FIND(LOWER('Ипотечный калькулятор'!$C$52),LOWER(C119))</f>
        <v>#VALUE!</v>
      </c>
      <c r="L119" t="str">
        <f t="shared" si="1"/>
        <v/>
      </c>
    </row>
    <row r="120" spans="3:12">
      <c r="C120" t="s">
        <v>245</v>
      </c>
      <c r="K120" t="e">
        <f>FIND(LOWER('Ипотечный калькулятор'!$C$52),LOWER(C120))</f>
        <v>#VALUE!</v>
      </c>
      <c r="L120" t="str">
        <f t="shared" si="1"/>
        <v/>
      </c>
    </row>
    <row r="121" spans="3:12">
      <c r="C121" t="s">
        <v>246</v>
      </c>
      <c r="K121" t="e">
        <f>FIND(LOWER('Ипотечный калькулятор'!$C$52),LOWER(C121))</f>
        <v>#VALUE!</v>
      </c>
      <c r="L121" t="str">
        <f t="shared" si="1"/>
        <v/>
      </c>
    </row>
    <row r="122" spans="3:12">
      <c r="C122" t="s">
        <v>247</v>
      </c>
      <c r="K122" t="e">
        <f>FIND(LOWER('Ипотечный калькулятор'!$C$52),LOWER(C122))</f>
        <v>#VALUE!</v>
      </c>
      <c r="L122" t="str">
        <f t="shared" si="1"/>
        <v/>
      </c>
    </row>
    <row r="123" spans="3:12">
      <c r="C123" t="s">
        <v>248</v>
      </c>
      <c r="K123" t="e">
        <f>FIND(LOWER('Ипотечный калькулятор'!$C$52),LOWER(C123))</f>
        <v>#VALUE!</v>
      </c>
      <c r="L123" t="str">
        <f t="shared" si="1"/>
        <v/>
      </c>
    </row>
    <row r="124" spans="3:12">
      <c r="C124" t="s">
        <v>249</v>
      </c>
      <c r="K124" t="e">
        <f>FIND(LOWER('Ипотечный калькулятор'!$C$52),LOWER(C124))</f>
        <v>#VALUE!</v>
      </c>
      <c r="L124" t="str">
        <f t="shared" si="1"/>
        <v/>
      </c>
    </row>
    <row r="125" spans="3:12">
      <c r="C125" t="s">
        <v>250</v>
      </c>
      <c r="K125" t="e">
        <f>FIND(LOWER('Ипотечный калькулятор'!$C$52),LOWER(C125))</f>
        <v>#VALUE!</v>
      </c>
      <c r="L125" t="str">
        <f t="shared" si="1"/>
        <v/>
      </c>
    </row>
    <row r="126" spans="3:12">
      <c r="C126" t="s">
        <v>251</v>
      </c>
      <c r="K126" t="e">
        <f>FIND(LOWER('Ипотечный калькулятор'!$C$52),LOWER(C126))</f>
        <v>#VALUE!</v>
      </c>
      <c r="L126" t="str">
        <f t="shared" si="1"/>
        <v/>
      </c>
    </row>
    <row r="127" spans="3:12">
      <c r="C127" t="s">
        <v>252</v>
      </c>
      <c r="K127" t="e">
        <f>FIND(LOWER('Ипотечный калькулятор'!$C$52),LOWER(C127))</f>
        <v>#VALUE!</v>
      </c>
      <c r="L127" t="str">
        <f t="shared" si="1"/>
        <v/>
      </c>
    </row>
    <row r="128" spans="3:12">
      <c r="C128" t="s">
        <v>253</v>
      </c>
      <c r="K128" t="e">
        <f>FIND(LOWER('Ипотечный калькулятор'!$C$52),LOWER(C128))</f>
        <v>#VALUE!</v>
      </c>
      <c r="L128" t="str">
        <f t="shared" si="1"/>
        <v/>
      </c>
    </row>
    <row r="129" spans="3:12">
      <c r="C129" t="s">
        <v>254</v>
      </c>
      <c r="K129" t="e">
        <f>FIND(LOWER('Ипотечный калькулятор'!$C$52),LOWER(C129))</f>
        <v>#VALUE!</v>
      </c>
      <c r="L129" t="str">
        <f t="shared" si="1"/>
        <v/>
      </c>
    </row>
    <row r="130" spans="3:12">
      <c r="C130" t="s">
        <v>255</v>
      </c>
      <c r="K130" t="e">
        <f>FIND(LOWER('Ипотечный калькулятор'!$C$52),LOWER(C130))</f>
        <v>#VALUE!</v>
      </c>
      <c r="L130" t="str">
        <f t="shared" si="1"/>
        <v/>
      </c>
    </row>
    <row r="131" spans="3:12">
      <c r="C131" t="s">
        <v>256</v>
      </c>
      <c r="K131" t="e">
        <f>FIND(LOWER('Ипотечный калькулятор'!$C$52),LOWER(C131))</f>
        <v>#VALUE!</v>
      </c>
      <c r="L131" t="str">
        <f t="shared" si="1"/>
        <v/>
      </c>
    </row>
    <row r="132" spans="3:12">
      <c r="C132" t="s">
        <v>257</v>
      </c>
      <c r="K132" t="e">
        <f>FIND(LOWER('Ипотечный калькулятор'!$C$52),LOWER(C132))</f>
        <v>#VALUE!</v>
      </c>
      <c r="L132" t="str">
        <f t="shared" si="1"/>
        <v/>
      </c>
    </row>
    <row r="133" spans="3:12">
      <c r="C133" t="s">
        <v>258</v>
      </c>
      <c r="K133" t="e">
        <f>FIND(LOWER('Ипотечный калькулятор'!$C$52),LOWER(C133))</f>
        <v>#VALUE!</v>
      </c>
      <c r="L133" t="str">
        <f t="shared" ref="L133:L191" si="2">IF(IFERROR(K133,"")&lt;&gt;"",C133,"")</f>
        <v/>
      </c>
    </row>
    <row r="134" spans="3:12">
      <c r="C134" t="s">
        <v>259</v>
      </c>
      <c r="K134" t="e">
        <f>FIND(LOWER('Ипотечный калькулятор'!$C$52),LOWER(C134))</f>
        <v>#VALUE!</v>
      </c>
      <c r="L134" t="str">
        <f t="shared" si="2"/>
        <v/>
      </c>
    </row>
    <row r="135" spans="3:12">
      <c r="C135" t="s">
        <v>260</v>
      </c>
      <c r="K135" t="e">
        <f>FIND(LOWER('Ипотечный калькулятор'!$C$52),LOWER(C135))</f>
        <v>#VALUE!</v>
      </c>
      <c r="L135" t="str">
        <f t="shared" si="2"/>
        <v/>
      </c>
    </row>
    <row r="136" spans="3:12">
      <c r="C136" t="s">
        <v>261</v>
      </c>
      <c r="K136" t="e">
        <f>FIND(LOWER('Ипотечный калькулятор'!$C$52),LOWER(C136))</f>
        <v>#VALUE!</v>
      </c>
      <c r="L136" t="str">
        <f t="shared" si="2"/>
        <v/>
      </c>
    </row>
    <row r="137" spans="3:12">
      <c r="C137" t="s">
        <v>262</v>
      </c>
      <c r="K137" t="e">
        <f>FIND(LOWER('Ипотечный калькулятор'!$C$52),LOWER(C137))</f>
        <v>#VALUE!</v>
      </c>
      <c r="L137" t="str">
        <f t="shared" si="2"/>
        <v/>
      </c>
    </row>
    <row r="138" spans="3:12">
      <c r="C138" t="s">
        <v>263</v>
      </c>
      <c r="K138" t="e">
        <f>FIND(LOWER('Ипотечный калькулятор'!$C$52),LOWER(C138))</f>
        <v>#VALUE!</v>
      </c>
      <c r="L138" t="str">
        <f t="shared" si="2"/>
        <v/>
      </c>
    </row>
    <row r="139" spans="3:12">
      <c r="C139" t="s">
        <v>264</v>
      </c>
      <c r="K139" t="e">
        <f>FIND(LOWER('Ипотечный калькулятор'!$C$52),LOWER(C139))</f>
        <v>#VALUE!</v>
      </c>
      <c r="L139" t="str">
        <f t="shared" si="2"/>
        <v/>
      </c>
    </row>
    <row r="140" spans="3:12">
      <c r="C140" t="s">
        <v>265</v>
      </c>
      <c r="K140" t="e">
        <f>FIND(LOWER('Ипотечный калькулятор'!$C$52),LOWER(C140))</f>
        <v>#VALUE!</v>
      </c>
      <c r="L140" t="str">
        <f t="shared" si="2"/>
        <v/>
      </c>
    </row>
    <row r="141" spans="3:12">
      <c r="C141" t="s">
        <v>266</v>
      </c>
      <c r="K141" t="e">
        <f>FIND(LOWER('Ипотечный калькулятор'!$C$52),LOWER(C141))</f>
        <v>#VALUE!</v>
      </c>
      <c r="L141" t="str">
        <f t="shared" si="2"/>
        <v/>
      </c>
    </row>
    <row r="142" spans="3:12">
      <c r="C142" t="s">
        <v>267</v>
      </c>
      <c r="K142" t="e">
        <f>FIND(LOWER('Ипотечный калькулятор'!$C$52),LOWER(C142))</f>
        <v>#VALUE!</v>
      </c>
      <c r="L142" t="str">
        <f t="shared" si="2"/>
        <v/>
      </c>
    </row>
    <row r="143" spans="3:12">
      <c r="C143" t="s">
        <v>268</v>
      </c>
      <c r="K143" t="e">
        <f>FIND(LOWER('Ипотечный калькулятор'!$C$52),LOWER(C143))</f>
        <v>#VALUE!</v>
      </c>
      <c r="L143" t="str">
        <f t="shared" si="2"/>
        <v/>
      </c>
    </row>
    <row r="144" spans="3:12">
      <c r="C144" t="s">
        <v>269</v>
      </c>
      <c r="K144" t="e">
        <f>FIND(LOWER('Ипотечный калькулятор'!$C$52),LOWER(C144))</f>
        <v>#VALUE!</v>
      </c>
      <c r="L144" t="str">
        <f t="shared" si="2"/>
        <v/>
      </c>
    </row>
    <row r="145" spans="3:12">
      <c r="C145" t="s">
        <v>270</v>
      </c>
      <c r="K145" t="e">
        <f>FIND(LOWER('Ипотечный калькулятор'!$C$52),LOWER(C145))</f>
        <v>#VALUE!</v>
      </c>
      <c r="L145" t="str">
        <f t="shared" si="2"/>
        <v/>
      </c>
    </row>
    <row r="146" spans="3:12">
      <c r="C146" t="s">
        <v>271</v>
      </c>
      <c r="K146" t="e">
        <f>FIND(LOWER('Ипотечный калькулятор'!$C$52),LOWER(C146))</f>
        <v>#VALUE!</v>
      </c>
      <c r="L146" t="str">
        <f t="shared" si="2"/>
        <v/>
      </c>
    </row>
    <row r="147" spans="3:12">
      <c r="C147" t="s">
        <v>272</v>
      </c>
      <c r="K147" t="e">
        <f>FIND(LOWER('Ипотечный калькулятор'!$C$52),LOWER(C147))</f>
        <v>#VALUE!</v>
      </c>
      <c r="L147" t="str">
        <f t="shared" si="2"/>
        <v/>
      </c>
    </row>
    <row r="148" spans="3:12">
      <c r="C148" t="s">
        <v>273</v>
      </c>
      <c r="K148" t="e">
        <f>FIND(LOWER('Ипотечный калькулятор'!$C$52),LOWER(C148))</f>
        <v>#VALUE!</v>
      </c>
      <c r="L148" t="str">
        <f t="shared" si="2"/>
        <v/>
      </c>
    </row>
    <row r="149" spans="3:12">
      <c r="C149" t="s">
        <v>274</v>
      </c>
      <c r="K149" t="e">
        <f>FIND(LOWER('Ипотечный калькулятор'!$C$52),LOWER(C149))</f>
        <v>#VALUE!</v>
      </c>
      <c r="L149" t="str">
        <f t="shared" si="2"/>
        <v/>
      </c>
    </row>
    <row r="150" spans="3:12">
      <c r="C150" t="s">
        <v>275</v>
      </c>
      <c r="K150" t="e">
        <f>FIND(LOWER('Ипотечный калькулятор'!$C$52),LOWER(C150))</f>
        <v>#VALUE!</v>
      </c>
      <c r="L150" t="str">
        <f t="shared" si="2"/>
        <v/>
      </c>
    </row>
    <row r="151" spans="3:12">
      <c r="C151" t="s">
        <v>276</v>
      </c>
      <c r="K151" t="e">
        <f>FIND(LOWER('Ипотечный калькулятор'!$C$52),LOWER(C151))</f>
        <v>#VALUE!</v>
      </c>
      <c r="L151" t="str">
        <f t="shared" si="2"/>
        <v/>
      </c>
    </row>
    <row r="152" spans="3:12">
      <c r="C152" t="s">
        <v>277</v>
      </c>
      <c r="K152" t="e">
        <f>FIND(LOWER('Ипотечный калькулятор'!$C$52),LOWER(C152))</f>
        <v>#VALUE!</v>
      </c>
      <c r="L152" t="str">
        <f t="shared" si="2"/>
        <v/>
      </c>
    </row>
    <row r="153" spans="3:12">
      <c r="C153" t="s">
        <v>278</v>
      </c>
      <c r="K153" t="e">
        <f>FIND(LOWER('Ипотечный калькулятор'!$C$52),LOWER(C153))</f>
        <v>#VALUE!</v>
      </c>
      <c r="L153" t="str">
        <f t="shared" si="2"/>
        <v/>
      </c>
    </row>
    <row r="154" spans="3:12">
      <c r="C154" t="s">
        <v>279</v>
      </c>
      <c r="K154" t="e">
        <f>FIND(LOWER('Ипотечный калькулятор'!$C$52),LOWER(C154))</f>
        <v>#VALUE!</v>
      </c>
      <c r="L154" t="str">
        <f t="shared" si="2"/>
        <v/>
      </c>
    </row>
    <row r="155" spans="3:12">
      <c r="C155" t="s">
        <v>280</v>
      </c>
      <c r="K155" t="e">
        <f>FIND(LOWER('Ипотечный калькулятор'!$C$52),LOWER(C155))</f>
        <v>#VALUE!</v>
      </c>
      <c r="L155" t="str">
        <f t="shared" si="2"/>
        <v/>
      </c>
    </row>
    <row r="156" spans="3:12">
      <c r="C156" t="s">
        <v>281</v>
      </c>
      <c r="K156" t="e">
        <f>FIND(LOWER('Ипотечный калькулятор'!$C$52),LOWER(C156))</f>
        <v>#VALUE!</v>
      </c>
      <c r="L156" t="str">
        <f t="shared" si="2"/>
        <v/>
      </c>
    </row>
    <row r="157" spans="3:12">
      <c r="C157" t="s">
        <v>282</v>
      </c>
      <c r="K157" t="e">
        <f>FIND(LOWER('Ипотечный калькулятор'!$C$52),LOWER(C157))</f>
        <v>#VALUE!</v>
      </c>
      <c r="L157" t="str">
        <f t="shared" si="2"/>
        <v/>
      </c>
    </row>
    <row r="158" spans="3:12">
      <c r="C158" t="s">
        <v>283</v>
      </c>
      <c r="K158" t="e">
        <f>FIND(LOWER('Ипотечный калькулятор'!$C$52),LOWER(C158))</f>
        <v>#VALUE!</v>
      </c>
      <c r="L158" t="str">
        <f t="shared" si="2"/>
        <v/>
      </c>
    </row>
    <row r="159" spans="3:12">
      <c r="C159" t="s">
        <v>284</v>
      </c>
      <c r="K159" t="e">
        <f>FIND(LOWER('Ипотечный калькулятор'!$C$52),LOWER(C159))</f>
        <v>#VALUE!</v>
      </c>
      <c r="L159" t="str">
        <f t="shared" si="2"/>
        <v/>
      </c>
    </row>
    <row r="160" spans="3:12">
      <c r="C160" t="s">
        <v>285</v>
      </c>
      <c r="K160" t="e">
        <f>FIND(LOWER('Ипотечный калькулятор'!$C$52),LOWER(C160))</f>
        <v>#VALUE!</v>
      </c>
      <c r="L160" t="str">
        <f t="shared" si="2"/>
        <v/>
      </c>
    </row>
    <row r="161" spans="3:12">
      <c r="C161" t="s">
        <v>286</v>
      </c>
      <c r="K161" t="e">
        <f>FIND(LOWER('Ипотечный калькулятор'!$C$52),LOWER(C161))</f>
        <v>#VALUE!</v>
      </c>
      <c r="L161" t="str">
        <f t="shared" si="2"/>
        <v/>
      </c>
    </row>
    <row r="162" spans="3:12">
      <c r="C162" t="s">
        <v>287</v>
      </c>
      <c r="K162" t="e">
        <f>FIND(LOWER('Ипотечный калькулятор'!$C$52),LOWER(C162))</f>
        <v>#VALUE!</v>
      </c>
      <c r="L162" t="str">
        <f t="shared" si="2"/>
        <v/>
      </c>
    </row>
    <row r="163" spans="3:12">
      <c r="C163" t="s">
        <v>288</v>
      </c>
      <c r="K163" t="e">
        <f>FIND(LOWER('Ипотечный калькулятор'!$C$52),LOWER(C163))</f>
        <v>#VALUE!</v>
      </c>
      <c r="L163" t="str">
        <f t="shared" si="2"/>
        <v/>
      </c>
    </row>
    <row r="164" spans="3:12">
      <c r="C164" t="s">
        <v>289</v>
      </c>
      <c r="K164" t="e">
        <f>FIND(LOWER('Ипотечный калькулятор'!$C$52),LOWER(C164))</f>
        <v>#VALUE!</v>
      </c>
      <c r="L164" t="str">
        <f t="shared" si="2"/>
        <v/>
      </c>
    </row>
    <row r="165" spans="3:12">
      <c r="C165" t="s">
        <v>290</v>
      </c>
      <c r="K165" t="e">
        <f>FIND(LOWER('Ипотечный калькулятор'!$C$52),LOWER(C165))</f>
        <v>#VALUE!</v>
      </c>
      <c r="L165" t="str">
        <f t="shared" si="2"/>
        <v/>
      </c>
    </row>
    <row r="166" spans="3:12">
      <c r="C166" t="s">
        <v>291</v>
      </c>
      <c r="K166" t="e">
        <f>FIND(LOWER('Ипотечный калькулятор'!$C$52),LOWER(C166))</f>
        <v>#VALUE!</v>
      </c>
      <c r="L166" t="str">
        <f t="shared" si="2"/>
        <v/>
      </c>
    </row>
    <row r="167" spans="3:12">
      <c r="C167" t="s">
        <v>292</v>
      </c>
      <c r="K167" t="e">
        <f>FIND(LOWER('Ипотечный калькулятор'!$C$52),LOWER(C167))</f>
        <v>#VALUE!</v>
      </c>
      <c r="L167" t="str">
        <f t="shared" si="2"/>
        <v/>
      </c>
    </row>
    <row r="168" spans="3:12">
      <c r="C168" t="s">
        <v>293</v>
      </c>
      <c r="K168" t="e">
        <f>FIND(LOWER('Ипотечный калькулятор'!$C$52),LOWER(C168))</f>
        <v>#VALUE!</v>
      </c>
      <c r="L168" t="str">
        <f t="shared" si="2"/>
        <v/>
      </c>
    </row>
    <row r="169" spans="3:12">
      <c r="C169" t="s">
        <v>294</v>
      </c>
      <c r="K169" t="e">
        <f>FIND(LOWER('Ипотечный калькулятор'!$C$52),LOWER(C169))</f>
        <v>#VALUE!</v>
      </c>
      <c r="L169" t="str">
        <f t="shared" si="2"/>
        <v/>
      </c>
    </row>
    <row r="170" spans="3:12">
      <c r="C170" t="s">
        <v>295</v>
      </c>
      <c r="K170" t="e">
        <f>FIND(LOWER('Ипотечный калькулятор'!$C$52),LOWER(C170))</f>
        <v>#VALUE!</v>
      </c>
      <c r="L170" t="str">
        <f t="shared" si="2"/>
        <v/>
      </c>
    </row>
    <row r="171" spans="3:12">
      <c r="C171" t="s">
        <v>296</v>
      </c>
      <c r="K171" t="e">
        <f>FIND(LOWER('Ипотечный калькулятор'!$C$52),LOWER(C171))</f>
        <v>#VALUE!</v>
      </c>
      <c r="L171" t="str">
        <f t="shared" si="2"/>
        <v/>
      </c>
    </row>
    <row r="172" spans="3:12">
      <c r="C172" t="s">
        <v>297</v>
      </c>
      <c r="K172" t="e">
        <f>FIND(LOWER('Ипотечный калькулятор'!$C$52),LOWER(C172))</f>
        <v>#VALUE!</v>
      </c>
      <c r="L172" t="str">
        <f>IF(IFERROR(K172,"")&lt;&gt;"",C172,"")</f>
        <v/>
      </c>
    </row>
    <row r="173" spans="3:12">
      <c r="C173" t="s">
        <v>298</v>
      </c>
      <c r="K173" t="e">
        <f>FIND(LOWER('Ипотечный калькулятор'!$C$52),LOWER(C173))</f>
        <v>#VALUE!</v>
      </c>
      <c r="L173" t="str">
        <f t="shared" si="2"/>
        <v/>
      </c>
    </row>
    <row r="174" spans="3:12">
      <c r="C174" t="s">
        <v>299</v>
      </c>
      <c r="K174" t="e">
        <f>FIND(LOWER('Ипотечный калькулятор'!$C$52),LOWER(C174))</f>
        <v>#VALUE!</v>
      </c>
      <c r="L174" t="str">
        <f t="shared" si="2"/>
        <v/>
      </c>
    </row>
    <row r="175" spans="3:12">
      <c r="C175" t="s">
        <v>300</v>
      </c>
      <c r="K175" t="e">
        <f>FIND(LOWER('Ипотечный калькулятор'!$C$52),LOWER(C175))</f>
        <v>#VALUE!</v>
      </c>
      <c r="L175" t="str">
        <f t="shared" si="2"/>
        <v/>
      </c>
    </row>
    <row r="176" spans="3:12">
      <c r="C176" t="s">
        <v>301</v>
      </c>
      <c r="K176" t="e">
        <f>FIND(LOWER('Ипотечный калькулятор'!$C$52),LOWER(C176))</f>
        <v>#VALUE!</v>
      </c>
      <c r="L176" t="str">
        <f t="shared" si="2"/>
        <v/>
      </c>
    </row>
    <row r="177" spans="3:12">
      <c r="C177" t="s">
        <v>302</v>
      </c>
      <c r="K177" t="e">
        <f>FIND(LOWER('Ипотечный калькулятор'!$C$52),LOWER(C177))</f>
        <v>#VALUE!</v>
      </c>
      <c r="L177" t="str">
        <f t="shared" si="2"/>
        <v/>
      </c>
    </row>
    <row r="178" spans="3:12">
      <c r="C178" t="s">
        <v>303</v>
      </c>
      <c r="K178" t="e">
        <f>FIND(LOWER('Ипотечный калькулятор'!$C$52),LOWER(C178))</f>
        <v>#VALUE!</v>
      </c>
      <c r="L178" t="str">
        <f t="shared" si="2"/>
        <v/>
      </c>
    </row>
    <row r="179" spans="3:12">
      <c r="C179" t="s">
        <v>304</v>
      </c>
      <c r="K179" t="e">
        <f>FIND(LOWER('Ипотечный калькулятор'!$C$52),LOWER(C179))</f>
        <v>#VALUE!</v>
      </c>
      <c r="L179" t="str">
        <f t="shared" si="2"/>
        <v/>
      </c>
    </row>
    <row r="180" spans="3:12">
      <c r="C180" t="s">
        <v>305</v>
      </c>
      <c r="K180" t="e">
        <f>FIND(LOWER('Ипотечный калькулятор'!$C$52),LOWER(C180))</f>
        <v>#VALUE!</v>
      </c>
      <c r="L180" t="str">
        <f>IF(IFERROR(K180,"")&lt;&gt;"",C180,"")</f>
        <v/>
      </c>
    </row>
    <row r="181" spans="3:12">
      <c r="C181" t="s">
        <v>306</v>
      </c>
      <c r="K181" t="e">
        <f>FIND(LOWER('Ипотечный калькулятор'!$C$52),LOWER(C181))</f>
        <v>#VALUE!</v>
      </c>
      <c r="L181" t="str">
        <f t="shared" si="2"/>
        <v/>
      </c>
    </row>
    <row r="182" spans="3:12">
      <c r="C182" t="s">
        <v>307</v>
      </c>
      <c r="K182" t="e">
        <f>FIND(LOWER('Ипотечный калькулятор'!$C$52),LOWER(C182))</f>
        <v>#VALUE!</v>
      </c>
      <c r="L182" t="str">
        <f t="shared" si="2"/>
        <v/>
      </c>
    </row>
    <row r="183" spans="3:12">
      <c r="C183" t="s">
        <v>308</v>
      </c>
      <c r="K183" t="e">
        <f>FIND(LOWER('Ипотечный калькулятор'!$C$52),LOWER(C183))</f>
        <v>#VALUE!</v>
      </c>
      <c r="L183" t="str">
        <f t="shared" si="2"/>
        <v/>
      </c>
    </row>
    <row r="184" spans="3:12">
      <c r="C184" t="s">
        <v>309</v>
      </c>
      <c r="K184" t="e">
        <f>FIND(LOWER('Ипотечный калькулятор'!$C$52),LOWER(C184))</f>
        <v>#VALUE!</v>
      </c>
      <c r="L184" t="str">
        <f t="shared" si="2"/>
        <v/>
      </c>
    </row>
    <row r="185" spans="3:12">
      <c r="C185" t="s">
        <v>310</v>
      </c>
      <c r="K185" t="e">
        <f>FIND(LOWER('Ипотечный калькулятор'!$C$52),LOWER(C185))</f>
        <v>#VALUE!</v>
      </c>
      <c r="L185" t="str">
        <f t="shared" si="2"/>
        <v/>
      </c>
    </row>
    <row r="186" spans="3:12">
      <c r="C186" t="s">
        <v>311</v>
      </c>
      <c r="K186" t="e">
        <f>FIND(LOWER('Ипотечный калькулятор'!$C$52),LOWER(C186))</f>
        <v>#VALUE!</v>
      </c>
      <c r="L186" t="str">
        <f t="shared" si="2"/>
        <v/>
      </c>
    </row>
    <row r="187" spans="3:12">
      <c r="C187" t="s">
        <v>275</v>
      </c>
      <c r="K187" t="e">
        <f>FIND(LOWER('Ипотечный калькулятор'!$C$52),LOWER(C187))</f>
        <v>#VALUE!</v>
      </c>
      <c r="L187" t="str">
        <f t="shared" si="2"/>
        <v/>
      </c>
    </row>
    <row r="188" spans="3:12">
      <c r="C188" t="s">
        <v>276</v>
      </c>
      <c r="K188" t="e">
        <f>FIND(LOWER('Ипотечный калькулятор'!$C$52),LOWER(C188))</f>
        <v>#VALUE!</v>
      </c>
      <c r="L188" t="str">
        <f t="shared" si="2"/>
        <v/>
      </c>
    </row>
    <row r="189" spans="3:12">
      <c r="C189" t="s">
        <v>312</v>
      </c>
      <c r="K189" t="e">
        <f>FIND(LOWER('Ипотечный калькулятор'!$C$52),LOWER(C189))</f>
        <v>#VALUE!</v>
      </c>
      <c r="L189" t="str">
        <f t="shared" si="2"/>
        <v/>
      </c>
    </row>
    <row r="190" spans="3:12">
      <c r="C190" t="s">
        <v>313</v>
      </c>
      <c r="K190" t="e">
        <f>FIND(LOWER('Ипотечный калькулятор'!$C$52),LOWER(C190))</f>
        <v>#VALUE!</v>
      </c>
      <c r="L190" t="str">
        <f t="shared" si="2"/>
        <v/>
      </c>
    </row>
    <row r="191" spans="3:12">
      <c r="C191" t="s">
        <v>314</v>
      </c>
      <c r="K191" t="e">
        <f>FIND(LOWER('Ипотечный калькулятор'!$C$52),LOWER(C191))</f>
        <v>#VALUE!</v>
      </c>
      <c r="L191" t="str">
        <f t="shared" si="2"/>
        <v/>
      </c>
    </row>
    <row r="192" spans="3:12">
      <c r="C192" t="s">
        <v>315</v>
      </c>
      <c r="J192" t="s">
        <v>209</v>
      </c>
      <c r="K192" t="e">
        <f>FIND(LOWER('Ипотечный калькулятор'!$C$52),LOWER(C192))</f>
        <v>#VALUE!</v>
      </c>
      <c r="L192" t="str">
        <f>IF(IFERROR(K192,"")&lt;&gt;"",J192,"")</f>
        <v/>
      </c>
    </row>
    <row r="193" spans="3:12">
      <c r="C193" t="s">
        <v>316</v>
      </c>
      <c r="J193" t="s">
        <v>158</v>
      </c>
      <c r="K193" t="e">
        <f>FIND(LOWER('Ипотечный калькулятор'!$C$52),LOWER(C193))</f>
        <v>#VALUE!</v>
      </c>
      <c r="L193" t="str">
        <f t="shared" ref="L193:L217" si="3">IF(IFERROR(K193,"")&lt;&gt;"",J193,"")</f>
        <v/>
      </c>
    </row>
    <row r="194" spans="3:12">
      <c r="C194" t="s">
        <v>317</v>
      </c>
      <c r="J194" t="s">
        <v>156</v>
      </c>
      <c r="K194" t="e">
        <f>FIND(LOWER('Ипотечный калькулятор'!$C$52),LOWER(C194))</f>
        <v>#VALUE!</v>
      </c>
      <c r="L194" t="str">
        <f t="shared" si="3"/>
        <v/>
      </c>
    </row>
    <row r="195" spans="3:12">
      <c r="C195" t="s">
        <v>318</v>
      </c>
      <c r="J195" t="s">
        <v>155</v>
      </c>
      <c r="K195" t="e">
        <f>FIND(LOWER('Ипотечный калькулятор'!$C$52),LOWER(C195))</f>
        <v>#VALUE!</v>
      </c>
      <c r="L195" t="str">
        <f t="shared" si="3"/>
        <v/>
      </c>
    </row>
    <row r="196" spans="3:12">
      <c r="C196" t="s">
        <v>319</v>
      </c>
      <c r="J196" t="s">
        <v>171</v>
      </c>
      <c r="K196" t="e">
        <f>FIND(LOWER('Ипотечный калькулятор'!$C$52),LOWER(C196))</f>
        <v>#VALUE!</v>
      </c>
      <c r="L196" t="str">
        <f t="shared" si="3"/>
        <v/>
      </c>
    </row>
    <row r="197" spans="3:12">
      <c r="C197" t="s">
        <v>320</v>
      </c>
      <c r="J197" t="s">
        <v>179</v>
      </c>
      <c r="K197" t="e">
        <f>FIND(LOWER('Ипотечный калькулятор'!$C$52),LOWER(C197))</f>
        <v>#VALUE!</v>
      </c>
      <c r="L197" t="str">
        <f t="shared" si="3"/>
        <v/>
      </c>
    </row>
    <row r="198" spans="3:12">
      <c r="C198" t="s">
        <v>321</v>
      </c>
      <c r="J198" t="s">
        <v>223</v>
      </c>
      <c r="K198" t="e">
        <f>FIND(LOWER('Ипотечный калькулятор'!$C$52),LOWER(C198))</f>
        <v>#VALUE!</v>
      </c>
      <c r="L198" t="str">
        <f t="shared" si="3"/>
        <v/>
      </c>
    </row>
    <row r="199" spans="3:12">
      <c r="C199" t="s">
        <v>322</v>
      </c>
      <c r="J199" t="s">
        <v>143</v>
      </c>
      <c r="K199" t="e">
        <f>FIND(LOWER('Ипотечный калькулятор'!$C$52),LOWER(C199))</f>
        <v>#VALUE!</v>
      </c>
      <c r="L199" t="str">
        <f t="shared" si="3"/>
        <v/>
      </c>
    </row>
    <row r="200" spans="3:12">
      <c r="C200" t="s">
        <v>323</v>
      </c>
      <c r="J200" t="s">
        <v>130</v>
      </c>
      <c r="K200" t="e">
        <f>FIND(LOWER('Ипотечный калькулятор'!$C$52),LOWER(C200))</f>
        <v>#VALUE!</v>
      </c>
      <c r="L200" t="str">
        <f t="shared" si="3"/>
        <v/>
      </c>
    </row>
    <row r="201" spans="3:12">
      <c r="C201" t="s">
        <v>324</v>
      </c>
      <c r="J201" t="s">
        <v>159</v>
      </c>
      <c r="K201" t="e">
        <f>FIND(LOWER('Ипотечный калькулятор'!$C$52),LOWER(C201))</f>
        <v>#VALUE!</v>
      </c>
      <c r="L201" t="str">
        <f t="shared" si="3"/>
        <v/>
      </c>
    </row>
    <row r="202" spans="3:12">
      <c r="C202" t="s">
        <v>325</v>
      </c>
      <c r="J202" t="s">
        <v>195</v>
      </c>
      <c r="K202" t="e">
        <f>FIND(LOWER('Ипотечный калькулятор'!$C$52),LOWER(C202))</f>
        <v>#VALUE!</v>
      </c>
      <c r="L202" t="str">
        <f t="shared" si="3"/>
        <v/>
      </c>
    </row>
    <row r="203" spans="3:12">
      <c r="C203" t="s">
        <v>326</v>
      </c>
      <c r="J203" t="s">
        <v>196</v>
      </c>
      <c r="K203" t="e">
        <f>FIND(LOWER('Ипотечный калькулятор'!$C$52),LOWER(C203))</f>
        <v>#VALUE!</v>
      </c>
      <c r="L203" t="str">
        <f t="shared" si="3"/>
        <v/>
      </c>
    </row>
    <row r="204" spans="3:12">
      <c r="C204" t="s">
        <v>327</v>
      </c>
      <c r="J204" t="s">
        <v>237</v>
      </c>
      <c r="K204" t="e">
        <f>FIND(LOWER('Ипотечный калькулятор'!$C$52),LOWER(C204))</f>
        <v>#VALUE!</v>
      </c>
      <c r="L204" t="str">
        <f t="shared" si="3"/>
        <v/>
      </c>
    </row>
    <row r="205" spans="3:12">
      <c r="C205" t="s">
        <v>328</v>
      </c>
      <c r="J205" t="s">
        <v>247</v>
      </c>
      <c r="K205" t="e">
        <f>FIND(LOWER('Ипотечный калькулятор'!$C$52),LOWER(C205))</f>
        <v>#VALUE!</v>
      </c>
      <c r="L205" t="str">
        <f t="shared" si="3"/>
        <v/>
      </c>
    </row>
    <row r="206" spans="3:12">
      <c r="C206" t="s">
        <v>329</v>
      </c>
      <c r="J206" t="s">
        <v>330</v>
      </c>
      <c r="K206" t="e">
        <f>FIND(LOWER('Ипотечный калькулятор'!$C$52),LOWER(C206))</f>
        <v>#VALUE!</v>
      </c>
      <c r="L206" t="str">
        <f t="shared" si="3"/>
        <v/>
      </c>
    </row>
    <row r="207" spans="3:12">
      <c r="C207" t="s">
        <v>331</v>
      </c>
      <c r="J207" t="s">
        <v>251</v>
      </c>
      <c r="K207" t="e">
        <f>FIND(LOWER('Ипотечный калькулятор'!$C$52),LOWER(C207))</f>
        <v>#VALUE!</v>
      </c>
      <c r="L207" t="str">
        <f t="shared" si="3"/>
        <v/>
      </c>
    </row>
    <row r="208" spans="3:12">
      <c r="C208" t="s">
        <v>332</v>
      </c>
      <c r="J208" t="s">
        <v>254</v>
      </c>
      <c r="K208" t="e">
        <f>FIND(LOWER('Ипотечный калькулятор'!$C$52),LOWER(C208))</f>
        <v>#VALUE!</v>
      </c>
      <c r="L208" t="str">
        <f t="shared" si="3"/>
        <v/>
      </c>
    </row>
    <row r="209" spans="3:12">
      <c r="C209" t="s">
        <v>333</v>
      </c>
      <c r="J209" t="s">
        <v>264</v>
      </c>
      <c r="K209" t="e">
        <f>FIND(LOWER('Ипотечный калькулятор'!$C$52),LOWER(C209))</f>
        <v>#VALUE!</v>
      </c>
      <c r="L209" t="str">
        <f t="shared" si="3"/>
        <v/>
      </c>
    </row>
    <row r="210" spans="3:12">
      <c r="C210" t="s">
        <v>334</v>
      </c>
      <c r="J210" t="s">
        <v>265</v>
      </c>
      <c r="K210" t="e">
        <f>FIND(LOWER('Ипотечный калькулятор'!$C$52),LOWER(C210))</f>
        <v>#VALUE!</v>
      </c>
      <c r="L210" t="str">
        <f t="shared" si="3"/>
        <v/>
      </c>
    </row>
    <row r="211" spans="3:12">
      <c r="C211" t="s">
        <v>335</v>
      </c>
      <c r="J211" t="s">
        <v>274</v>
      </c>
      <c r="K211" t="e">
        <f>FIND(LOWER('Ипотечный калькулятор'!$C$52),LOWER(C211))</f>
        <v>#VALUE!</v>
      </c>
      <c r="L211" t="str">
        <f t="shared" si="3"/>
        <v/>
      </c>
    </row>
    <row r="212" spans="3:12">
      <c r="C212" t="s">
        <v>336</v>
      </c>
      <c r="J212" t="s">
        <v>275</v>
      </c>
      <c r="K212" t="e">
        <f>FIND(LOWER('Ипотечный калькулятор'!$C$52),LOWER(C212))</f>
        <v>#VALUE!</v>
      </c>
      <c r="L212" t="str">
        <f t="shared" si="3"/>
        <v/>
      </c>
    </row>
    <row r="213" spans="3:12">
      <c r="C213" t="s">
        <v>337</v>
      </c>
      <c r="J213" t="s">
        <v>279</v>
      </c>
      <c r="K213" t="e">
        <f>FIND(LOWER('Ипотечный калькулятор'!$C$52),LOWER(C213))</f>
        <v>#VALUE!</v>
      </c>
      <c r="L213" t="str">
        <f t="shared" si="3"/>
        <v/>
      </c>
    </row>
    <row r="214" spans="3:12">
      <c r="C214" t="s">
        <v>338</v>
      </c>
      <c r="J214" t="s">
        <v>284</v>
      </c>
      <c r="K214" t="e">
        <f>FIND(LOWER('Ипотечный калькулятор'!$C$52),LOWER(C214))</f>
        <v>#VALUE!</v>
      </c>
      <c r="L214" t="str">
        <f t="shared" si="3"/>
        <v/>
      </c>
    </row>
    <row r="215" spans="3:12">
      <c r="C215" t="s">
        <v>339</v>
      </c>
      <c r="J215" t="s">
        <v>286</v>
      </c>
      <c r="K215" t="e">
        <f>FIND(LOWER('Ипотечный калькулятор'!$C$52),LOWER(C215))</f>
        <v>#VALUE!</v>
      </c>
      <c r="L215" t="str">
        <f t="shared" si="3"/>
        <v/>
      </c>
    </row>
    <row r="216" spans="3:12">
      <c r="C216" t="s">
        <v>340</v>
      </c>
      <c r="J216" t="s">
        <v>288</v>
      </c>
      <c r="K216" t="e">
        <f>FIND(LOWER('Ипотечный калькулятор'!$C$52),LOWER(C216))</f>
        <v>#VALUE!</v>
      </c>
      <c r="L216" t="str">
        <f t="shared" si="3"/>
        <v/>
      </c>
    </row>
    <row r="217" spans="3:12">
      <c r="C217" t="s">
        <v>341</v>
      </c>
      <c r="J217" t="s">
        <v>291</v>
      </c>
      <c r="K217" t="e">
        <f>FIND(LOWER('Ипотечный калькулятор'!$C$52),LOWER(C217))</f>
        <v>#VALUE!</v>
      </c>
      <c r="L217" t="str">
        <f t="shared" si="3"/>
        <v/>
      </c>
    </row>
    <row r="218" spans="3:12">
      <c r="C218" t="s">
        <v>342</v>
      </c>
      <c r="K218" t="e">
        <f>FIND(LOWER('Ипотечный калькулятор'!$C$52),LOWER(C218))</f>
        <v>#VALUE!</v>
      </c>
      <c r="L218" t="str">
        <f t="shared" ref="L218:L256" si="4">IF(IFERROR(K218,"")&lt;&gt;"",C218,"")</f>
        <v/>
      </c>
    </row>
    <row r="219" spans="3:12">
      <c r="C219" t="s">
        <v>343</v>
      </c>
      <c r="K219" t="e">
        <f>FIND(LOWER('Ипотечный калькулятор'!$C$52),LOWER(C219))</f>
        <v>#VALUE!</v>
      </c>
      <c r="L219" t="str">
        <f t="shared" si="4"/>
        <v/>
      </c>
    </row>
    <row r="220" spans="3:12">
      <c r="C220" t="s">
        <v>344</v>
      </c>
      <c r="J220" t="s">
        <v>162</v>
      </c>
      <c r="K220" t="e">
        <f>FIND(LOWER('Ипотечный калькулятор'!$C$52),LOWER(C220))</f>
        <v>#VALUE!</v>
      </c>
      <c r="L220" t="str">
        <f>IF(IFERROR(K220,"")&lt;&gt;"",J220,"")</f>
        <v/>
      </c>
    </row>
    <row r="221" spans="3:12">
      <c r="C221" t="s">
        <v>345</v>
      </c>
      <c r="J221" t="s">
        <v>178</v>
      </c>
      <c r="K221" t="e">
        <f>FIND(LOWER('Ипотечный калькулятор'!$C$52),LOWER(C221))</f>
        <v>#VALUE!</v>
      </c>
      <c r="L221" t="str">
        <f t="shared" ref="L221:L253" si="5">IF(IFERROR(K221,"")&lt;&gt;"",J221,"")</f>
        <v/>
      </c>
    </row>
    <row r="222" spans="3:12">
      <c r="C222" t="s">
        <v>346</v>
      </c>
      <c r="J222" t="s">
        <v>214</v>
      </c>
      <c r="K222" t="e">
        <f>FIND(LOWER('Ипотечный калькулятор'!$C$52),LOWER(C222))</f>
        <v>#VALUE!</v>
      </c>
      <c r="L222" t="str">
        <f t="shared" si="5"/>
        <v/>
      </c>
    </row>
    <row r="223" spans="3:12">
      <c r="C223" t="s">
        <v>347</v>
      </c>
      <c r="J223" t="s">
        <v>229</v>
      </c>
      <c r="K223" t="e">
        <f>FIND(LOWER('Ипотечный калькулятор'!$C$52),LOWER(C223))</f>
        <v>#VALUE!</v>
      </c>
      <c r="L223" t="str">
        <f t="shared" si="5"/>
        <v/>
      </c>
    </row>
    <row r="224" spans="3:12">
      <c r="C224" t="s">
        <v>348</v>
      </c>
      <c r="J224" t="s">
        <v>244</v>
      </c>
      <c r="K224" t="e">
        <f>FIND(LOWER('Ипотечный калькулятор'!$C$52),LOWER(C224))</f>
        <v>#VALUE!</v>
      </c>
      <c r="L224" t="str">
        <f t="shared" si="5"/>
        <v/>
      </c>
    </row>
    <row r="225" spans="3:12">
      <c r="C225" t="s">
        <v>349</v>
      </c>
      <c r="J225" t="s">
        <v>253</v>
      </c>
      <c r="K225" t="e">
        <f>FIND(LOWER('Ипотечный калькулятор'!$C$52),LOWER(C225))</f>
        <v>#VALUE!</v>
      </c>
      <c r="L225" t="str">
        <f t="shared" si="5"/>
        <v/>
      </c>
    </row>
    <row r="226" spans="3:12">
      <c r="C226" t="s">
        <v>350</v>
      </c>
      <c r="J226" t="s">
        <v>256</v>
      </c>
      <c r="K226" t="e">
        <f>FIND(LOWER('Ипотечный калькулятор'!$C$52),LOWER(C226))</f>
        <v>#VALUE!</v>
      </c>
      <c r="L226" t="str">
        <f t="shared" si="5"/>
        <v/>
      </c>
    </row>
    <row r="227" spans="3:12">
      <c r="C227" t="s">
        <v>351</v>
      </c>
      <c r="J227" t="s">
        <v>277</v>
      </c>
      <c r="K227" t="e">
        <f>FIND(LOWER('Ипотечный калькулятор'!$C$52),LOWER(C227))</f>
        <v>#VALUE!</v>
      </c>
      <c r="L227" t="str">
        <f t="shared" si="5"/>
        <v/>
      </c>
    </row>
    <row r="228" spans="3:12">
      <c r="C228" t="s">
        <v>352</v>
      </c>
      <c r="J228" t="s">
        <v>288</v>
      </c>
      <c r="K228" t="e">
        <f>FIND(LOWER('Ипотечный калькулятор'!$C$52),LOWER(C228))</f>
        <v>#VALUE!</v>
      </c>
      <c r="L228" t="str">
        <f t="shared" si="5"/>
        <v/>
      </c>
    </row>
    <row r="229" spans="3:12">
      <c r="C229" t="s">
        <v>353</v>
      </c>
      <c r="J229" t="s">
        <v>293</v>
      </c>
      <c r="K229" t="e">
        <f>FIND(LOWER('Ипотечный калькулятор'!$C$52),LOWER(C229))</f>
        <v>#VALUE!</v>
      </c>
      <c r="L229" t="str">
        <f t="shared" si="5"/>
        <v/>
      </c>
    </row>
    <row r="230" spans="3:12">
      <c r="C230" t="s">
        <v>354</v>
      </c>
      <c r="J230" t="s">
        <v>161</v>
      </c>
      <c r="K230" t="e">
        <f>FIND(LOWER('Ипотечный калькулятор'!$C$52),LOWER(C230))</f>
        <v>#VALUE!</v>
      </c>
      <c r="L230" t="str">
        <f t="shared" si="5"/>
        <v/>
      </c>
    </row>
    <row r="231" spans="3:12">
      <c r="C231" t="s">
        <v>355</v>
      </c>
      <c r="J231" t="s">
        <v>356</v>
      </c>
      <c r="K231" t="e">
        <f>FIND(LOWER('Ипотечный калькулятор'!$C$52),LOWER(C231))</f>
        <v>#VALUE!</v>
      </c>
      <c r="L231" t="str">
        <f t="shared" si="5"/>
        <v/>
      </c>
    </row>
    <row r="232" spans="3:12">
      <c r="C232" t="s">
        <v>357</v>
      </c>
      <c r="J232" t="s">
        <v>151</v>
      </c>
      <c r="K232" t="e">
        <f>FIND(LOWER('Ипотечный калькулятор'!$C$52),LOWER(C232))</f>
        <v>#VALUE!</v>
      </c>
      <c r="L232" t="str">
        <f t="shared" si="5"/>
        <v/>
      </c>
    </row>
    <row r="233" spans="3:12">
      <c r="C233" t="s">
        <v>358</v>
      </c>
      <c r="J233" t="s">
        <v>132</v>
      </c>
      <c r="K233" t="e">
        <f>FIND(LOWER('Ипотечный калькулятор'!$C$52),LOWER(C233))</f>
        <v>#VALUE!</v>
      </c>
      <c r="L233" t="str">
        <f t="shared" si="5"/>
        <v/>
      </c>
    </row>
    <row r="234" spans="3:12">
      <c r="C234" t="s">
        <v>359</v>
      </c>
      <c r="J234" t="s">
        <v>360</v>
      </c>
      <c r="K234" t="e">
        <f>FIND(LOWER('Ипотечный калькулятор'!$C$52),LOWER(C234))</f>
        <v>#VALUE!</v>
      </c>
      <c r="L234" t="str">
        <f t="shared" si="5"/>
        <v/>
      </c>
    </row>
    <row r="235" spans="3:12">
      <c r="C235" t="s">
        <v>361</v>
      </c>
      <c r="J235" t="s">
        <v>175</v>
      </c>
      <c r="K235" t="e">
        <f>FIND(LOWER('Ипотечный калькулятор'!$C$52),LOWER(C235))</f>
        <v>#VALUE!</v>
      </c>
      <c r="L235" t="str">
        <f t="shared" si="5"/>
        <v/>
      </c>
    </row>
    <row r="236" spans="3:12">
      <c r="C236" t="s">
        <v>362</v>
      </c>
      <c r="J236" t="s">
        <v>180</v>
      </c>
      <c r="K236" t="e">
        <f>FIND(LOWER('Ипотечный калькулятор'!$C$52),LOWER(C236))</f>
        <v>#VALUE!</v>
      </c>
      <c r="L236" t="str">
        <f t="shared" si="5"/>
        <v/>
      </c>
    </row>
    <row r="237" spans="3:12">
      <c r="C237" t="s">
        <v>363</v>
      </c>
      <c r="J237" t="s">
        <v>364</v>
      </c>
      <c r="K237" t="e">
        <f>FIND(LOWER('Ипотечный калькулятор'!$C$52),LOWER(C237))</f>
        <v>#VALUE!</v>
      </c>
      <c r="L237" t="str">
        <f t="shared" si="5"/>
        <v/>
      </c>
    </row>
    <row r="238" spans="3:12">
      <c r="C238" t="s">
        <v>365</v>
      </c>
      <c r="J238" t="s">
        <v>278</v>
      </c>
      <c r="K238" t="e">
        <f>FIND(LOWER('Ипотечный калькулятор'!$C$52),LOWER(C238))</f>
        <v>#VALUE!</v>
      </c>
      <c r="L238" t="str">
        <f t="shared" si="5"/>
        <v/>
      </c>
    </row>
    <row r="239" spans="3:12">
      <c r="C239" t="s">
        <v>366</v>
      </c>
      <c r="J239" t="s">
        <v>276</v>
      </c>
      <c r="K239" t="e">
        <f>FIND(LOWER('Ипотечный калькулятор'!$C$52),LOWER(C239))</f>
        <v>#VALUE!</v>
      </c>
      <c r="L239" t="str">
        <f t="shared" si="5"/>
        <v/>
      </c>
    </row>
    <row r="240" spans="3:12">
      <c r="C240" t="s">
        <v>367</v>
      </c>
      <c r="J240" t="s">
        <v>269</v>
      </c>
      <c r="K240" t="e">
        <f>FIND(LOWER('Ипотечный калькулятор'!$C$52),LOWER(C240))</f>
        <v>#VALUE!</v>
      </c>
      <c r="L240" t="str">
        <f t="shared" si="5"/>
        <v/>
      </c>
    </row>
    <row r="241" spans="3:12">
      <c r="C241" t="s">
        <v>368</v>
      </c>
      <c r="J241" t="s">
        <v>266</v>
      </c>
      <c r="K241" t="e">
        <f>FIND(LOWER('Ипотечный калькулятор'!$C$52),LOWER(C241))</f>
        <v>#VALUE!</v>
      </c>
      <c r="L241" t="str">
        <f t="shared" si="5"/>
        <v/>
      </c>
    </row>
    <row r="242" spans="3:12">
      <c r="C242" t="s">
        <v>369</v>
      </c>
      <c r="J242" t="s">
        <v>260</v>
      </c>
      <c r="K242" t="e">
        <f>FIND(LOWER('Ипотечный калькулятор'!$C$52),LOWER(C242))</f>
        <v>#VALUE!</v>
      </c>
      <c r="L242" t="str">
        <f t="shared" si="5"/>
        <v/>
      </c>
    </row>
    <row r="243" spans="3:12">
      <c r="C243" t="s">
        <v>370</v>
      </c>
      <c r="J243" t="s">
        <v>228</v>
      </c>
      <c r="K243" t="e">
        <f>FIND(LOWER('Ипотечный калькулятор'!$C$52),LOWER(C243))</f>
        <v>#VALUE!</v>
      </c>
      <c r="L243" t="str">
        <f t="shared" si="5"/>
        <v/>
      </c>
    </row>
    <row r="244" spans="3:12">
      <c r="C244" t="s">
        <v>371</v>
      </c>
      <c r="J244" t="s">
        <v>127</v>
      </c>
      <c r="K244" t="e">
        <f>FIND(LOWER('Ипотечный калькулятор'!$C$52),LOWER(C244))</f>
        <v>#VALUE!</v>
      </c>
      <c r="L244" t="str">
        <f t="shared" si="5"/>
        <v/>
      </c>
    </row>
    <row r="245" spans="3:12">
      <c r="C245" t="s">
        <v>372</v>
      </c>
      <c r="J245" t="s">
        <v>185</v>
      </c>
      <c r="K245" t="e">
        <f>FIND(LOWER('Ипотечный калькулятор'!$C$52),LOWER(C245))</f>
        <v>#VALUE!</v>
      </c>
      <c r="L245" t="str">
        <f t="shared" si="5"/>
        <v/>
      </c>
    </row>
    <row r="246" spans="3:12">
      <c r="C246" t="s">
        <v>373</v>
      </c>
      <c r="J246" t="s">
        <v>374</v>
      </c>
      <c r="K246" t="e">
        <f>FIND(LOWER('Ипотечный калькулятор'!$C$52),LOWER(C246))</f>
        <v>#VALUE!</v>
      </c>
      <c r="L246" t="str">
        <f t="shared" si="5"/>
        <v/>
      </c>
    </row>
    <row r="247" spans="3:12">
      <c r="C247" t="s">
        <v>375</v>
      </c>
      <c r="J247" t="s">
        <v>376</v>
      </c>
      <c r="K247" t="e">
        <f>FIND(LOWER('Ипотечный калькулятор'!$C$52),LOWER(C247))</f>
        <v>#VALUE!</v>
      </c>
      <c r="L247" t="str">
        <f t="shared" si="5"/>
        <v/>
      </c>
    </row>
    <row r="248" spans="3:12">
      <c r="C248" t="s">
        <v>377</v>
      </c>
      <c r="J248" t="s">
        <v>378</v>
      </c>
      <c r="K248" t="e">
        <f>FIND(LOWER('Ипотечный калькулятор'!$C$52),LOWER(C248))</f>
        <v>#VALUE!</v>
      </c>
      <c r="L248" t="str">
        <f t="shared" si="5"/>
        <v/>
      </c>
    </row>
    <row r="249" spans="3:12">
      <c r="C249" t="s">
        <v>379</v>
      </c>
      <c r="J249" t="s">
        <v>222</v>
      </c>
      <c r="K249" t="e">
        <f>FIND(LOWER('Ипотечный калькулятор'!$C$52),LOWER(C249))</f>
        <v>#VALUE!</v>
      </c>
      <c r="L249" t="str">
        <f t="shared" si="5"/>
        <v/>
      </c>
    </row>
    <row r="250" spans="3:12">
      <c r="C250" t="s">
        <v>348</v>
      </c>
      <c r="J250" t="s">
        <v>244</v>
      </c>
      <c r="K250" t="e">
        <f>FIND(LOWER('Ипотечный калькулятор'!$C$52),LOWER(C250))</f>
        <v>#VALUE!</v>
      </c>
      <c r="L250" t="str">
        <f t="shared" si="5"/>
        <v/>
      </c>
    </row>
    <row r="251" spans="3:12">
      <c r="C251" t="s">
        <v>380</v>
      </c>
      <c r="J251" t="s">
        <v>281</v>
      </c>
      <c r="K251" t="e">
        <f>FIND(LOWER('Ипотечный калькулятор'!$C$52),LOWER(C251))</f>
        <v>#VALUE!</v>
      </c>
      <c r="L251" t="str">
        <f t="shared" si="5"/>
        <v/>
      </c>
    </row>
    <row r="252" spans="3:12">
      <c r="C252" t="s">
        <v>381</v>
      </c>
      <c r="J252" t="s">
        <v>382</v>
      </c>
      <c r="K252" t="e">
        <f>FIND(LOWER('Ипотечный калькулятор'!$C$52),LOWER(C252))</f>
        <v>#VALUE!</v>
      </c>
      <c r="L252" t="str">
        <f t="shared" si="5"/>
        <v/>
      </c>
    </row>
    <row r="253" spans="3:12">
      <c r="C253" t="s">
        <v>383</v>
      </c>
      <c r="J253" t="s">
        <v>302</v>
      </c>
      <c r="K253" t="e">
        <f>FIND(LOWER('Ипотечный калькулятор'!$C$52),LOWER(C253))</f>
        <v>#VALUE!</v>
      </c>
      <c r="L253" t="str">
        <f t="shared" si="5"/>
        <v/>
      </c>
    </row>
    <row r="254" spans="3:12">
      <c r="C254" t="s">
        <v>384</v>
      </c>
      <c r="K254" t="e">
        <f>FIND(LOWER('Ипотечный калькулятор'!$C$52),LOWER(C254))</f>
        <v>#VALUE!</v>
      </c>
      <c r="L254" t="str">
        <f t="shared" si="4"/>
        <v/>
      </c>
    </row>
    <row r="255" spans="3:12">
      <c r="C255" t="s">
        <v>385</v>
      </c>
      <c r="K255" t="e">
        <f>FIND(LOWER('Ипотечный калькулятор'!$C$52),LOWER(C255))</f>
        <v>#VALUE!</v>
      </c>
      <c r="L255" t="str">
        <f t="shared" si="4"/>
        <v/>
      </c>
    </row>
    <row r="256" spans="3:12">
      <c r="C256" t="s">
        <v>386</v>
      </c>
      <c r="K256" t="e">
        <f>FIND(LOWER('Ипотечный калькулятор'!$C$52),LOWER(C256))</f>
        <v>#VALUE!</v>
      </c>
      <c r="L256" t="str">
        <f t="shared" si="4"/>
        <v/>
      </c>
    </row>
    <row r="257" spans="3:12">
      <c r="C257" t="s">
        <v>387</v>
      </c>
      <c r="J257" t="s">
        <v>387</v>
      </c>
      <c r="K257" t="e">
        <f>FIND(LOWER('Ипотечный калькулятор'!$C$52),LOWER(C257))</f>
        <v>#VALUE!</v>
      </c>
      <c r="L257" t="str">
        <f>IF(IFERROR(K257,"")&lt;&gt;"",J257,"")</f>
        <v/>
      </c>
    </row>
    <row r="258" spans="3:12">
      <c r="C258" t="s">
        <v>388</v>
      </c>
      <c r="J258" t="s">
        <v>387</v>
      </c>
      <c r="K258" t="e">
        <f>FIND(LOWER('Ипотечный калькулятор'!$C$52),LOWER(C258))</f>
        <v>#VALUE!</v>
      </c>
      <c r="L258" t="str">
        <f t="shared" ref="L258:L313" si="6">IF(IFERROR(K258,"")&lt;&gt;"",J258,"")</f>
        <v/>
      </c>
    </row>
    <row r="259" spans="3:12">
      <c r="C259" t="s">
        <v>389</v>
      </c>
      <c r="J259" t="s">
        <v>136</v>
      </c>
      <c r="K259" t="e">
        <f>FIND(LOWER('Ипотечный калькулятор'!$C$52),LOWER(C259))</f>
        <v>#VALUE!</v>
      </c>
      <c r="L259" t="str">
        <f t="shared" si="6"/>
        <v/>
      </c>
    </row>
    <row r="260" spans="3:12">
      <c r="C260" t="s">
        <v>316</v>
      </c>
      <c r="J260" t="s">
        <v>158</v>
      </c>
      <c r="K260" t="e">
        <f>FIND(LOWER('Ипотечный калькулятор'!$C$52),LOWER(C260))</f>
        <v>#VALUE!</v>
      </c>
      <c r="L260" t="str">
        <f t="shared" si="6"/>
        <v/>
      </c>
    </row>
    <row r="261" spans="3:12">
      <c r="C261" t="s">
        <v>344</v>
      </c>
      <c r="J261" t="s">
        <v>162</v>
      </c>
      <c r="K261" t="e">
        <f>FIND(LOWER('Ипотечный калькулятор'!$C$52),LOWER(C261))</f>
        <v>#VALUE!</v>
      </c>
      <c r="L261" t="str">
        <f t="shared" si="6"/>
        <v/>
      </c>
    </row>
    <row r="262" spans="3:12">
      <c r="C262" t="s">
        <v>390</v>
      </c>
      <c r="J262" t="s">
        <v>391</v>
      </c>
      <c r="K262" t="e">
        <f>FIND(LOWER('Ипотечный калькулятор'!$C$52),LOWER(C262))</f>
        <v>#VALUE!</v>
      </c>
      <c r="L262" t="str">
        <f t="shared" si="6"/>
        <v/>
      </c>
    </row>
    <row r="263" spans="3:12">
      <c r="C263" t="s">
        <v>345</v>
      </c>
      <c r="J263" t="s">
        <v>178</v>
      </c>
      <c r="K263" t="e">
        <f>FIND(LOWER('Ипотечный калькулятор'!$C$52),LOWER(C263))</f>
        <v>#VALUE!</v>
      </c>
      <c r="L263" t="str">
        <f t="shared" si="6"/>
        <v/>
      </c>
    </row>
    <row r="264" spans="3:12">
      <c r="C264" t="s">
        <v>315</v>
      </c>
      <c r="J264" t="s">
        <v>209</v>
      </c>
      <c r="K264" t="e">
        <f>FIND(LOWER('Ипотечный калькулятор'!$C$52),LOWER(C264))</f>
        <v>#VALUE!</v>
      </c>
      <c r="L264" t="str">
        <f t="shared" si="6"/>
        <v/>
      </c>
    </row>
    <row r="265" spans="3:12">
      <c r="C265" t="s">
        <v>392</v>
      </c>
      <c r="J265" t="s">
        <v>213</v>
      </c>
      <c r="K265" t="e">
        <f>FIND(LOWER('Ипотечный калькулятор'!$C$52),LOWER(C265))</f>
        <v>#VALUE!</v>
      </c>
      <c r="L265" t="str">
        <f t="shared" si="6"/>
        <v/>
      </c>
    </row>
    <row r="266" spans="3:12">
      <c r="C266" t="s">
        <v>393</v>
      </c>
      <c r="J266" t="s">
        <v>219</v>
      </c>
      <c r="K266" t="e">
        <f>FIND(LOWER('Ипотечный калькулятор'!$C$52),LOWER(C266))</f>
        <v>#VALUE!</v>
      </c>
      <c r="L266" t="str">
        <f t="shared" si="6"/>
        <v/>
      </c>
    </row>
    <row r="267" spans="3:12">
      <c r="C267" t="s">
        <v>394</v>
      </c>
      <c r="J267" t="s">
        <v>226</v>
      </c>
      <c r="K267" t="e">
        <f>FIND(LOWER('Ипотечный калькулятор'!$C$52),LOWER(C267))</f>
        <v>#VALUE!</v>
      </c>
      <c r="L267" t="str">
        <f t="shared" si="6"/>
        <v/>
      </c>
    </row>
    <row r="268" spans="3:12">
      <c r="C268" t="s">
        <v>349</v>
      </c>
      <c r="J268" t="s">
        <v>253</v>
      </c>
      <c r="K268" t="e">
        <f>FIND(LOWER('Ипотечный калькулятор'!$C$52),LOWER(C268))</f>
        <v>#VALUE!</v>
      </c>
      <c r="L268" t="str">
        <f t="shared" si="6"/>
        <v/>
      </c>
    </row>
    <row r="269" spans="3:12">
      <c r="C269" t="s">
        <v>350</v>
      </c>
      <c r="J269" t="s">
        <v>256</v>
      </c>
      <c r="K269" t="e">
        <f>FIND(LOWER('Ипотечный калькулятор'!$C$52),LOWER(C269))</f>
        <v>#VALUE!</v>
      </c>
      <c r="L269" t="str">
        <f t="shared" si="6"/>
        <v/>
      </c>
    </row>
    <row r="270" spans="3:12">
      <c r="C270" t="s">
        <v>333</v>
      </c>
      <c r="J270" t="s">
        <v>264</v>
      </c>
      <c r="K270" t="e">
        <f>FIND(LOWER('Ипотечный калькулятор'!$C$52),LOWER(C270))</f>
        <v>#VALUE!</v>
      </c>
      <c r="L270" t="str">
        <f t="shared" si="6"/>
        <v/>
      </c>
    </row>
    <row r="271" spans="3:12">
      <c r="C271" t="s">
        <v>368</v>
      </c>
      <c r="J271" t="s">
        <v>266</v>
      </c>
      <c r="K271" t="e">
        <f>FIND(LOWER('Ипотечный калькулятор'!$C$52),LOWER(C271))</f>
        <v>#VALUE!</v>
      </c>
      <c r="L271" t="str">
        <f t="shared" si="6"/>
        <v/>
      </c>
    </row>
    <row r="272" spans="3:12">
      <c r="C272" t="s">
        <v>395</v>
      </c>
      <c r="J272" t="s">
        <v>273</v>
      </c>
      <c r="K272" t="e">
        <f>FIND(LOWER('Ипотечный калькулятор'!$C$52),LOWER(C272))</f>
        <v>#VALUE!</v>
      </c>
      <c r="L272" t="str">
        <f t="shared" si="6"/>
        <v/>
      </c>
    </row>
    <row r="273" spans="3:12">
      <c r="C273" t="s">
        <v>351</v>
      </c>
      <c r="J273" t="s">
        <v>277</v>
      </c>
      <c r="K273" t="e">
        <f>FIND(LOWER('Ипотечный калькулятор'!$C$52),LOWER(C273))</f>
        <v>#VALUE!</v>
      </c>
      <c r="L273" t="str">
        <f t="shared" si="6"/>
        <v/>
      </c>
    </row>
    <row r="274" spans="3:12">
      <c r="C274" t="s">
        <v>380</v>
      </c>
      <c r="J274" t="s">
        <v>281</v>
      </c>
      <c r="K274" t="e">
        <f>FIND(LOWER('Ипотечный калькулятор'!$C$52),LOWER(C274))</f>
        <v>#VALUE!</v>
      </c>
      <c r="L274" t="str">
        <f t="shared" si="6"/>
        <v/>
      </c>
    </row>
    <row r="275" spans="3:12">
      <c r="C275" t="s">
        <v>339</v>
      </c>
      <c r="J275" t="s">
        <v>286</v>
      </c>
      <c r="K275" t="e">
        <f>FIND(LOWER('Ипотечный калькулятор'!$C$52),LOWER(C275))</f>
        <v>#VALUE!</v>
      </c>
      <c r="L275" t="str">
        <f t="shared" si="6"/>
        <v/>
      </c>
    </row>
    <row r="276" spans="3:12">
      <c r="C276" t="s">
        <v>396</v>
      </c>
      <c r="J276" t="s">
        <v>396</v>
      </c>
      <c r="K276" t="e">
        <f>FIND(LOWER('Ипотечный калькулятор'!$C$52),LOWER(C276))</f>
        <v>#VALUE!</v>
      </c>
      <c r="L276" t="str">
        <f t="shared" si="6"/>
        <v/>
      </c>
    </row>
    <row r="277" spans="3:12">
      <c r="C277" t="s">
        <v>397</v>
      </c>
      <c r="J277" t="s">
        <v>398</v>
      </c>
      <c r="K277" t="e">
        <f>FIND(LOWER('Ипотечный калькулятор'!$C$52),LOWER(C277))</f>
        <v>#VALUE!</v>
      </c>
      <c r="L277" t="str">
        <f t="shared" si="6"/>
        <v/>
      </c>
    </row>
    <row r="278" spans="3:12">
      <c r="C278" t="s">
        <v>399</v>
      </c>
      <c r="J278" t="s">
        <v>399</v>
      </c>
      <c r="K278" t="e">
        <f>FIND(LOWER('Ипотечный калькулятор'!$C$52),LOWER(C278))</f>
        <v>#VALUE!</v>
      </c>
      <c r="L278" t="str">
        <f t="shared" si="6"/>
        <v/>
      </c>
    </row>
    <row r="279" spans="3:12">
      <c r="C279" t="s">
        <v>400</v>
      </c>
      <c r="J279" t="s">
        <v>401</v>
      </c>
      <c r="K279" t="e">
        <f>FIND(LOWER('Ипотечный калькулятор'!$C$52),LOWER(C279))</f>
        <v>#VALUE!</v>
      </c>
      <c r="L279" t="str">
        <f t="shared" si="6"/>
        <v/>
      </c>
    </row>
    <row r="280" spans="3:12">
      <c r="C280" t="s">
        <v>402</v>
      </c>
      <c r="J280" t="s">
        <v>403</v>
      </c>
      <c r="K280" t="e">
        <f>FIND(LOWER('Ипотечный калькулятор'!$C$52),LOWER(C280))</f>
        <v>#VALUE!</v>
      </c>
      <c r="L280" t="str">
        <f t="shared" si="6"/>
        <v/>
      </c>
    </row>
    <row r="281" spans="3:12">
      <c r="C281" t="s">
        <v>404</v>
      </c>
      <c r="J281" t="s">
        <v>404</v>
      </c>
      <c r="K281" t="e">
        <f>FIND(LOWER('Ипотечный калькулятор'!$C$52),LOWER(C281))</f>
        <v>#VALUE!</v>
      </c>
      <c r="L281" t="str">
        <f t="shared" si="6"/>
        <v/>
      </c>
    </row>
    <row r="282" spans="3:12">
      <c r="C282" t="s">
        <v>405</v>
      </c>
      <c r="J282" t="s">
        <v>250</v>
      </c>
      <c r="K282" t="e">
        <f>FIND(LOWER('Ипотечный калькулятор'!$C$52),LOWER(C282))</f>
        <v>#VALUE!</v>
      </c>
      <c r="L282" t="str">
        <f t="shared" si="6"/>
        <v/>
      </c>
    </row>
    <row r="283" spans="3:12">
      <c r="C283" t="s">
        <v>406</v>
      </c>
      <c r="J283" t="s">
        <v>406</v>
      </c>
      <c r="K283" t="e">
        <f>FIND(LOWER('Ипотечный калькулятор'!$C$52),LOWER(C283))</f>
        <v>#VALUE!</v>
      </c>
      <c r="L283" t="str">
        <f t="shared" si="6"/>
        <v/>
      </c>
    </row>
    <row r="284" spans="3:12">
      <c r="C284" t="s">
        <v>407</v>
      </c>
      <c r="J284" t="s">
        <v>284</v>
      </c>
      <c r="K284" t="e">
        <f>FIND(LOWER('Ипотечный калькулятор'!$C$52),LOWER(C284))</f>
        <v>#VALUE!</v>
      </c>
      <c r="L284" t="str">
        <f t="shared" si="6"/>
        <v/>
      </c>
    </row>
    <row r="285" spans="3:12">
      <c r="C285" t="s">
        <v>408</v>
      </c>
      <c r="J285" t="s">
        <v>408</v>
      </c>
      <c r="K285" t="e">
        <f>FIND(LOWER('Ипотечный калькулятор'!$C$52),LOWER(C285))</f>
        <v>#VALUE!</v>
      </c>
      <c r="L285" t="str">
        <f t="shared" si="6"/>
        <v/>
      </c>
    </row>
    <row r="286" spans="3:12">
      <c r="C286" t="s">
        <v>409</v>
      </c>
      <c r="J286" t="s">
        <v>288</v>
      </c>
      <c r="K286" t="e">
        <f>FIND(LOWER('Ипотечный калькулятор'!$C$52),LOWER(C286))</f>
        <v>#VALUE!</v>
      </c>
      <c r="L286" t="str">
        <f t="shared" si="6"/>
        <v/>
      </c>
    </row>
    <row r="287" spans="3:12">
      <c r="C287" t="s">
        <v>410</v>
      </c>
      <c r="J287" t="s">
        <v>411</v>
      </c>
      <c r="K287" t="e">
        <f>FIND(LOWER('Ипотечный калькулятор'!$C$52),LOWER(C287))</f>
        <v>#VALUE!</v>
      </c>
      <c r="L287" t="str">
        <f t="shared" si="6"/>
        <v/>
      </c>
    </row>
    <row r="288" spans="3:12">
      <c r="C288" t="s">
        <v>412</v>
      </c>
      <c r="J288" t="s">
        <v>413</v>
      </c>
      <c r="K288" t="e">
        <f>FIND(LOWER('Ипотечный калькулятор'!$C$52),LOWER(C288))</f>
        <v>#VALUE!</v>
      </c>
      <c r="L288" t="str">
        <f t="shared" si="6"/>
        <v/>
      </c>
    </row>
    <row r="289" spans="3:12">
      <c r="C289" t="s">
        <v>414</v>
      </c>
      <c r="J289" t="s">
        <v>411</v>
      </c>
      <c r="K289" t="e">
        <f>FIND(LOWER('Ипотечный калькулятор'!$C$52),LOWER(C289))</f>
        <v>#VALUE!</v>
      </c>
      <c r="L289" t="str">
        <f t="shared" si="6"/>
        <v/>
      </c>
    </row>
    <row r="290" spans="3:12">
      <c r="C290" t="s">
        <v>415</v>
      </c>
      <c r="J290" t="s">
        <v>163</v>
      </c>
      <c r="K290" t="e">
        <f>FIND(LOWER('Ипотечный калькулятор'!$C$52),LOWER(C290))</f>
        <v>#VALUE!</v>
      </c>
      <c r="L290" t="str">
        <f t="shared" si="6"/>
        <v/>
      </c>
    </row>
    <row r="291" spans="3:12">
      <c r="C291" t="s">
        <v>416</v>
      </c>
      <c r="J291" t="s">
        <v>374</v>
      </c>
      <c r="K291" t="e">
        <f>FIND(LOWER('Ипотечный калькулятор'!$C$52),LOWER(C291))</f>
        <v>#VALUE!</v>
      </c>
      <c r="L291" t="str">
        <f t="shared" si="6"/>
        <v/>
      </c>
    </row>
    <row r="292" spans="3:12">
      <c r="C292" t="s">
        <v>417</v>
      </c>
      <c r="J292" t="s">
        <v>417</v>
      </c>
      <c r="K292" t="e">
        <f>FIND(LOWER('Ипотечный калькулятор'!$C$52),LOWER(C292))</f>
        <v>#VALUE!</v>
      </c>
      <c r="L292" t="str">
        <f t="shared" si="6"/>
        <v/>
      </c>
    </row>
    <row r="293" spans="3:12">
      <c r="C293" t="s">
        <v>418</v>
      </c>
      <c r="J293" t="s">
        <v>417</v>
      </c>
      <c r="K293" t="e">
        <f>FIND(LOWER('Ипотечный калькулятор'!$C$52),LOWER(C293))</f>
        <v>#VALUE!</v>
      </c>
      <c r="L293" t="str">
        <f t="shared" si="6"/>
        <v/>
      </c>
    </row>
    <row r="294" spans="3:12">
      <c r="C294" t="s">
        <v>419</v>
      </c>
      <c r="J294" t="s">
        <v>419</v>
      </c>
      <c r="K294" t="e">
        <f>FIND(LOWER('Ипотечный калькулятор'!$C$52),LOWER(C294))</f>
        <v>#VALUE!</v>
      </c>
      <c r="L294" t="str">
        <f t="shared" si="6"/>
        <v/>
      </c>
    </row>
    <row r="295" spans="3:12">
      <c r="C295" t="s">
        <v>420</v>
      </c>
      <c r="J295" t="s">
        <v>419</v>
      </c>
      <c r="K295" t="e">
        <f>FIND(LOWER('Ипотечный калькулятор'!$C$52),LOWER(C295))</f>
        <v>#VALUE!</v>
      </c>
      <c r="L295" t="str">
        <f t="shared" si="6"/>
        <v/>
      </c>
    </row>
    <row r="296" spans="3:12">
      <c r="C296" t="s">
        <v>421</v>
      </c>
      <c r="J296" t="s">
        <v>422</v>
      </c>
      <c r="K296" t="e">
        <f>FIND(LOWER('Ипотечный калькулятор'!$C$52),LOWER(C296))</f>
        <v>#VALUE!</v>
      </c>
      <c r="L296" t="str">
        <f t="shared" si="6"/>
        <v/>
      </c>
    </row>
    <row r="297" spans="3:12">
      <c r="C297" t="s">
        <v>423</v>
      </c>
      <c r="J297" t="s">
        <v>423</v>
      </c>
      <c r="K297" t="e">
        <f>FIND(LOWER('Ипотечный калькулятор'!$C$52),LOWER(C297))</f>
        <v>#VALUE!</v>
      </c>
      <c r="L297" t="str">
        <f t="shared" si="6"/>
        <v/>
      </c>
    </row>
    <row r="298" spans="3:12">
      <c r="C298" t="s">
        <v>424</v>
      </c>
      <c r="J298" t="s">
        <v>424</v>
      </c>
      <c r="K298" t="e">
        <f>FIND(LOWER('Ипотечный калькулятор'!$C$52),LOWER(C298))</f>
        <v>#VALUE!</v>
      </c>
      <c r="L298" t="str">
        <f t="shared" si="6"/>
        <v/>
      </c>
    </row>
    <row r="299" spans="3:12">
      <c r="C299" t="s">
        <v>425</v>
      </c>
      <c r="J299" t="s">
        <v>425</v>
      </c>
      <c r="K299" t="e">
        <f>FIND(LOWER('Ипотечный калькулятор'!$C$52),LOWER(C299))</f>
        <v>#VALUE!</v>
      </c>
      <c r="L299" t="str">
        <f t="shared" si="6"/>
        <v/>
      </c>
    </row>
    <row r="300" spans="3:12">
      <c r="C300" t="s">
        <v>426</v>
      </c>
      <c r="J300" t="s">
        <v>427</v>
      </c>
      <c r="K300" t="e">
        <f>FIND(LOWER('Ипотечный калькулятор'!$C$52),LOWER(C300))</f>
        <v>#VALUE!</v>
      </c>
      <c r="L300" t="str">
        <f t="shared" si="6"/>
        <v/>
      </c>
    </row>
    <row r="301" spans="3:12">
      <c r="C301" t="s">
        <v>428</v>
      </c>
      <c r="J301" t="s">
        <v>429</v>
      </c>
      <c r="K301" t="e">
        <f>FIND(LOWER('Ипотечный калькулятор'!$C$52),LOWER(C301))</f>
        <v>#VALUE!</v>
      </c>
      <c r="L301" t="str">
        <f t="shared" si="6"/>
        <v/>
      </c>
    </row>
    <row r="302" spans="3:12">
      <c r="C302" t="s">
        <v>430</v>
      </c>
      <c r="J302" t="s">
        <v>430</v>
      </c>
      <c r="K302" t="e">
        <f>FIND(LOWER('Ипотечный калькулятор'!$C$52),LOWER(C302))</f>
        <v>#VALUE!</v>
      </c>
      <c r="L302" t="str">
        <f t="shared" si="6"/>
        <v/>
      </c>
    </row>
    <row r="303" spans="3:12">
      <c r="C303" t="s">
        <v>431</v>
      </c>
      <c r="J303" t="s">
        <v>430</v>
      </c>
      <c r="K303" t="e">
        <f>FIND(LOWER('Ипотечный калькулятор'!$C$52),LOWER(C303))</f>
        <v>#VALUE!</v>
      </c>
      <c r="L303" t="str">
        <f t="shared" si="6"/>
        <v/>
      </c>
    </row>
    <row r="304" spans="3:12">
      <c r="C304" t="s">
        <v>432</v>
      </c>
      <c r="J304" t="s">
        <v>432</v>
      </c>
      <c r="K304" t="e">
        <f>FIND(LOWER('Ипотечный калькулятор'!$C$52),LOWER(C304))</f>
        <v>#VALUE!</v>
      </c>
      <c r="L304" t="str">
        <f t="shared" si="6"/>
        <v/>
      </c>
    </row>
    <row r="305" spans="3:12">
      <c r="C305" t="s">
        <v>433</v>
      </c>
      <c r="J305" t="s">
        <v>433</v>
      </c>
      <c r="K305" t="e">
        <f>FIND(LOWER('Ипотечный калькулятор'!$C$52),LOWER(C305))</f>
        <v>#VALUE!</v>
      </c>
      <c r="L305" t="str">
        <f t="shared" si="6"/>
        <v/>
      </c>
    </row>
    <row r="306" spans="3:12">
      <c r="C306" t="s">
        <v>434</v>
      </c>
      <c r="J306" t="s">
        <v>434</v>
      </c>
      <c r="K306" t="e">
        <f>FIND(LOWER('Ипотечный калькулятор'!$C$52),LOWER(C306))</f>
        <v>#VALUE!</v>
      </c>
      <c r="L306" t="str">
        <f t="shared" si="6"/>
        <v/>
      </c>
    </row>
    <row r="307" spans="3:12">
      <c r="C307" t="s">
        <v>435</v>
      </c>
      <c r="J307" t="s">
        <v>434</v>
      </c>
      <c r="K307" t="e">
        <f>FIND(LOWER('Ипотечный калькулятор'!$C$52),LOWER(C307))</f>
        <v>#VALUE!</v>
      </c>
      <c r="L307" t="str">
        <f t="shared" si="6"/>
        <v/>
      </c>
    </row>
    <row r="308" spans="3:12">
      <c r="C308" t="s">
        <v>436</v>
      </c>
      <c r="J308" t="s">
        <v>437</v>
      </c>
      <c r="K308" t="e">
        <f>FIND(LOWER('Ипотечный калькулятор'!$C$52),LOWER(C308))</f>
        <v>#VALUE!</v>
      </c>
      <c r="L308" t="str">
        <f t="shared" si="6"/>
        <v/>
      </c>
    </row>
    <row r="309" spans="3:12">
      <c r="C309" t="s">
        <v>437</v>
      </c>
      <c r="J309" t="s">
        <v>437</v>
      </c>
      <c r="K309" t="e">
        <f>FIND(LOWER('Ипотечный калькулятор'!$C$52),LOWER(C309))</f>
        <v>#VALUE!</v>
      </c>
      <c r="L309" t="str">
        <f t="shared" si="6"/>
        <v/>
      </c>
    </row>
    <row r="310" spans="3:12">
      <c r="C310" t="s">
        <v>438</v>
      </c>
      <c r="J310" t="s">
        <v>438</v>
      </c>
      <c r="K310" t="e">
        <f>FIND(LOWER('Ипотечный калькулятор'!$C$52),LOWER(C310))</f>
        <v>#VALUE!</v>
      </c>
      <c r="L310" t="str">
        <f t="shared" si="6"/>
        <v/>
      </c>
    </row>
    <row r="311" spans="3:12">
      <c r="C311" t="s">
        <v>439</v>
      </c>
      <c r="J311" t="s">
        <v>439</v>
      </c>
      <c r="K311" t="e">
        <f>FIND(LOWER('Ипотечный калькулятор'!$C$52),LOWER(C311))</f>
        <v>#VALUE!</v>
      </c>
      <c r="L311" t="str">
        <f t="shared" si="6"/>
        <v/>
      </c>
    </row>
    <row r="312" spans="3:12">
      <c r="C312" t="s">
        <v>440</v>
      </c>
      <c r="J312" t="s">
        <v>440</v>
      </c>
      <c r="K312" t="e">
        <f>FIND(LOWER('Ипотечный калькулятор'!$C$52),LOWER(C312))</f>
        <v>#VALUE!</v>
      </c>
      <c r="L312" t="str">
        <f t="shared" si="6"/>
        <v/>
      </c>
    </row>
    <row r="313" spans="3:12">
      <c r="C313" t="s">
        <v>441</v>
      </c>
      <c r="J313" t="s">
        <v>441</v>
      </c>
      <c r="K313" t="e">
        <f>FIND(LOWER('Ипотечный калькулятор'!$C$52),LOWER(C313))</f>
        <v>#VALUE!</v>
      </c>
      <c r="L313" t="str">
        <f t="shared" si="6"/>
        <v/>
      </c>
    </row>
    <row r="314" spans="3:12">
      <c r="C314" t="s">
        <v>442</v>
      </c>
      <c r="K314" t="e">
        <f>FIND(LOWER('Ипотечный калькулятор'!$C$52),LOWER(C314))</f>
        <v>#VALUE!</v>
      </c>
      <c r="L314" t="str">
        <f>IF(IFERROR(K314,"")&lt;&gt;"",C314,"")</f>
        <v/>
      </c>
    </row>
    <row r="315" spans="3:12">
      <c r="C315" t="s">
        <v>443</v>
      </c>
      <c r="K315" t="e">
        <f>FIND(LOWER('Ипотечный калькулятор'!$C$52),LOWER(C315))</f>
        <v>#VALUE!</v>
      </c>
      <c r="L315" t="str">
        <f t="shared" ref="L315:L318" si="7">IF(IFERROR(K315,"")&lt;&gt;"",C315,"")</f>
        <v/>
      </c>
    </row>
    <row r="316" spans="3:12">
      <c r="C316" t="s">
        <v>444</v>
      </c>
      <c r="K316" t="e">
        <f>FIND(LOWER('Ипотечный калькулятор'!$C$52),LOWER(C316))</f>
        <v>#VALUE!</v>
      </c>
      <c r="L316" t="str">
        <f t="shared" si="7"/>
        <v/>
      </c>
    </row>
    <row r="317" spans="3:12">
      <c r="C317" t="s">
        <v>445</v>
      </c>
      <c r="K317" t="e">
        <f>FIND(LOWER('Ипотечный калькулятор'!$C$52),LOWER(C317))</f>
        <v>#VALUE!</v>
      </c>
      <c r="L317" t="str">
        <f t="shared" si="7"/>
        <v/>
      </c>
    </row>
    <row r="318" spans="3:12">
      <c r="C318" t="s">
        <v>446</v>
      </c>
      <c r="K318" t="e">
        <f>FIND(LOWER('Ипотечный калькулятор'!$C$52),LOWER(C318))</f>
        <v>#VALUE!</v>
      </c>
      <c r="L318" t="str">
        <f t="shared" si="7"/>
        <v/>
      </c>
    </row>
    <row r="319" spans="3:12">
      <c r="C319" t="s">
        <v>447</v>
      </c>
      <c r="J319" t="s">
        <v>447</v>
      </c>
      <c r="K319" t="e">
        <f>FIND(LOWER('Ипотечный калькулятор'!$C$52),LOWER(C319))</f>
        <v>#VALUE!</v>
      </c>
      <c r="L319" t="str">
        <f>IF(IFERROR(K319,"")&lt;&gt;"",J319,"")</f>
        <v/>
      </c>
    </row>
    <row r="320" spans="3:12">
      <c r="C320" t="s">
        <v>448</v>
      </c>
      <c r="J320" t="s">
        <v>448</v>
      </c>
      <c r="K320" t="e">
        <f>FIND(LOWER('Ипотечный калькулятор'!$C$52),LOWER(C320))</f>
        <v>#VALUE!</v>
      </c>
      <c r="L320" t="str">
        <f t="shared" ref="L320:L383" si="8">IF(IFERROR(K320,"")&lt;&gt;"",J320,"")</f>
        <v/>
      </c>
    </row>
    <row r="321" spans="3:12">
      <c r="C321" t="s">
        <v>449</v>
      </c>
      <c r="J321" t="s">
        <v>449</v>
      </c>
      <c r="K321" t="e">
        <f>FIND(LOWER('Ипотечный калькулятор'!$C$52),LOWER(C321))</f>
        <v>#VALUE!</v>
      </c>
      <c r="L321" t="str">
        <f t="shared" si="8"/>
        <v/>
      </c>
    </row>
    <row r="322" spans="3:12">
      <c r="C322" t="s">
        <v>450</v>
      </c>
      <c r="J322" t="s">
        <v>450</v>
      </c>
      <c r="K322" t="e">
        <f>FIND(LOWER('Ипотечный калькулятор'!$C$52),LOWER(C322))</f>
        <v>#VALUE!</v>
      </c>
      <c r="L322" t="str">
        <f t="shared" si="8"/>
        <v/>
      </c>
    </row>
    <row r="323" spans="3:12">
      <c r="C323" t="s">
        <v>451</v>
      </c>
      <c r="J323" t="s">
        <v>451</v>
      </c>
      <c r="K323" t="e">
        <f>FIND(LOWER('Ипотечный калькулятор'!$C$52),LOWER(C323))</f>
        <v>#VALUE!</v>
      </c>
      <c r="L323" t="str">
        <f t="shared" si="8"/>
        <v/>
      </c>
    </row>
    <row r="324" spans="3:12">
      <c r="C324" t="s">
        <v>452</v>
      </c>
      <c r="J324" t="s">
        <v>453</v>
      </c>
      <c r="K324" t="e">
        <f>FIND(LOWER('Ипотечный калькулятор'!$C$52),LOWER(C324))</f>
        <v>#VALUE!</v>
      </c>
      <c r="L324" t="str">
        <f t="shared" si="8"/>
        <v/>
      </c>
    </row>
    <row r="325" spans="3:12">
      <c r="C325" t="s">
        <v>454</v>
      </c>
      <c r="J325" t="s">
        <v>454</v>
      </c>
      <c r="K325" t="e">
        <f>FIND(LOWER('Ипотечный калькулятор'!$C$52),LOWER(C325))</f>
        <v>#VALUE!</v>
      </c>
      <c r="L325" t="str">
        <f t="shared" si="8"/>
        <v/>
      </c>
    </row>
    <row r="326" spans="3:12">
      <c r="C326" t="s">
        <v>407</v>
      </c>
      <c r="J326" t="s">
        <v>284</v>
      </c>
      <c r="K326" t="e">
        <f>FIND(LOWER('Ипотечный калькулятор'!$C$52),LOWER(C326))</f>
        <v>#VALUE!</v>
      </c>
      <c r="L326" t="str">
        <f t="shared" si="8"/>
        <v/>
      </c>
    </row>
    <row r="327" spans="3:12">
      <c r="C327" t="s">
        <v>455</v>
      </c>
      <c r="J327" t="s">
        <v>250</v>
      </c>
      <c r="K327" t="e">
        <f>FIND(LOWER('Ипотечный калькулятор'!$C$52),LOWER(C327))</f>
        <v>#VALUE!</v>
      </c>
      <c r="L327" t="str">
        <f t="shared" si="8"/>
        <v/>
      </c>
    </row>
    <row r="328" spans="3:12">
      <c r="C328" t="s">
        <v>456</v>
      </c>
      <c r="J328" t="s">
        <v>300</v>
      </c>
      <c r="K328" t="e">
        <f>FIND(LOWER('Ипотечный калькулятор'!$C$52),LOWER(C328))</f>
        <v>#VALUE!</v>
      </c>
      <c r="L328" t="str">
        <f t="shared" si="8"/>
        <v/>
      </c>
    </row>
    <row r="329" spans="3:12">
      <c r="C329" t="s">
        <v>457</v>
      </c>
      <c r="J329" t="s">
        <v>458</v>
      </c>
      <c r="K329" t="e">
        <f>FIND(LOWER('Ипотечный калькулятор'!$C$52),LOWER(C329))</f>
        <v>#VALUE!</v>
      </c>
      <c r="L329" t="str">
        <f t="shared" si="8"/>
        <v/>
      </c>
    </row>
    <row r="330" spans="3:12">
      <c r="C330" t="s">
        <v>459</v>
      </c>
      <c r="J330" t="s">
        <v>427</v>
      </c>
      <c r="K330" t="e">
        <f>FIND(LOWER('Ипотечный калькулятор'!$C$52),LOWER(C330))</f>
        <v>#VALUE!</v>
      </c>
      <c r="L330" t="str">
        <f t="shared" si="8"/>
        <v/>
      </c>
    </row>
    <row r="331" spans="3:12">
      <c r="C331" t="s">
        <v>460</v>
      </c>
      <c r="J331" t="s">
        <v>460</v>
      </c>
      <c r="K331" t="e">
        <f>FIND(LOWER('Ипотечный калькулятор'!$C$52),LOWER(C331))</f>
        <v>#VALUE!</v>
      </c>
      <c r="L331" t="str">
        <f t="shared" si="8"/>
        <v/>
      </c>
    </row>
    <row r="332" spans="3:12">
      <c r="C332" t="s">
        <v>461</v>
      </c>
      <c r="J332" t="s">
        <v>460</v>
      </c>
      <c r="K332" t="e">
        <f>FIND(LOWER('Ипотечный калькулятор'!$C$52),LOWER(C332))</f>
        <v>#VALUE!</v>
      </c>
      <c r="L332" t="str">
        <f t="shared" si="8"/>
        <v/>
      </c>
    </row>
    <row r="333" spans="3:12">
      <c r="C333" t="s">
        <v>462</v>
      </c>
      <c r="J333" t="s">
        <v>462</v>
      </c>
      <c r="K333" t="e">
        <f>FIND(LOWER('Ипотечный калькулятор'!$C$52),LOWER(C333))</f>
        <v>#VALUE!</v>
      </c>
      <c r="L333" t="str">
        <f t="shared" si="8"/>
        <v/>
      </c>
    </row>
    <row r="334" spans="3:12">
      <c r="C334" t="s">
        <v>463</v>
      </c>
      <c r="J334" t="s">
        <v>463</v>
      </c>
      <c r="K334" t="e">
        <f>FIND(LOWER('Ипотечный калькулятор'!$C$52),LOWER(C334))</f>
        <v>#VALUE!</v>
      </c>
      <c r="L334" t="str">
        <f t="shared" si="8"/>
        <v/>
      </c>
    </row>
    <row r="335" spans="3:12">
      <c r="C335" t="s">
        <v>464</v>
      </c>
      <c r="J335" t="s">
        <v>464</v>
      </c>
      <c r="K335" t="e">
        <f>FIND(LOWER('Ипотечный калькулятор'!$C$52),LOWER(C335))</f>
        <v>#VALUE!</v>
      </c>
      <c r="L335" t="str">
        <f t="shared" si="8"/>
        <v/>
      </c>
    </row>
    <row r="336" spans="3:12">
      <c r="C336" t="s">
        <v>465</v>
      </c>
      <c r="J336" t="s">
        <v>466</v>
      </c>
      <c r="K336" t="e">
        <f>FIND(LOWER('Ипотечный калькулятор'!$C$52),LOWER(C336))</f>
        <v>#VALUE!</v>
      </c>
      <c r="L336" t="str">
        <f t="shared" si="8"/>
        <v/>
      </c>
    </row>
    <row r="337" spans="3:12">
      <c r="C337" t="s">
        <v>467</v>
      </c>
      <c r="J337" t="s">
        <v>468</v>
      </c>
      <c r="K337" t="e">
        <f>FIND(LOWER('Ипотечный калькулятор'!$C$52),LOWER(C337))</f>
        <v>#VALUE!</v>
      </c>
      <c r="L337" t="str">
        <f t="shared" si="8"/>
        <v/>
      </c>
    </row>
    <row r="338" spans="3:12">
      <c r="C338" t="s">
        <v>469</v>
      </c>
      <c r="J338" t="s">
        <v>470</v>
      </c>
      <c r="K338" t="e">
        <f>FIND(LOWER('Ипотечный калькулятор'!$C$52),LOWER(C338))</f>
        <v>#VALUE!</v>
      </c>
      <c r="L338" t="str">
        <f t="shared" si="8"/>
        <v/>
      </c>
    </row>
    <row r="339" spans="3:12">
      <c r="C339" t="s">
        <v>470</v>
      </c>
      <c r="J339" t="s">
        <v>470</v>
      </c>
      <c r="K339" t="e">
        <f>FIND(LOWER('Ипотечный калькулятор'!$C$52),LOWER(C339))</f>
        <v>#VALUE!</v>
      </c>
      <c r="L339" t="str">
        <f t="shared" si="8"/>
        <v/>
      </c>
    </row>
    <row r="340" spans="3:12">
      <c r="C340" t="s">
        <v>471</v>
      </c>
      <c r="J340" t="s">
        <v>471</v>
      </c>
      <c r="K340" t="e">
        <f>FIND(LOWER('Ипотечный калькулятор'!$C$52),LOWER(C340))</f>
        <v>#VALUE!</v>
      </c>
      <c r="L340" t="str">
        <f t="shared" si="8"/>
        <v/>
      </c>
    </row>
    <row r="341" spans="3:12">
      <c r="C341" t="s">
        <v>472</v>
      </c>
      <c r="J341" t="s">
        <v>472</v>
      </c>
      <c r="K341" t="e">
        <f>FIND(LOWER('Ипотечный калькулятор'!$C$52),LOWER(C341))</f>
        <v>#VALUE!</v>
      </c>
      <c r="L341" t="str">
        <f t="shared" si="8"/>
        <v/>
      </c>
    </row>
    <row r="342" spans="3:12">
      <c r="C342" t="s">
        <v>416</v>
      </c>
      <c r="J342" t="s">
        <v>374</v>
      </c>
      <c r="K342" t="e">
        <f>FIND(LOWER('Ипотечный калькулятор'!$C$52),LOWER(C342))</f>
        <v>#VALUE!</v>
      </c>
      <c r="L342" t="str">
        <f t="shared" si="8"/>
        <v/>
      </c>
    </row>
    <row r="343" spans="3:12">
      <c r="C343" t="s">
        <v>473</v>
      </c>
      <c r="J343" t="s">
        <v>303</v>
      </c>
      <c r="K343" t="e">
        <f>FIND(LOWER('Ипотечный калькулятор'!$C$52),LOWER(C343))</f>
        <v>#VALUE!</v>
      </c>
      <c r="L343" t="str">
        <f t="shared" si="8"/>
        <v/>
      </c>
    </row>
    <row r="344" spans="3:12">
      <c r="C344" t="s">
        <v>474</v>
      </c>
      <c r="J344" t="s">
        <v>143</v>
      </c>
      <c r="K344" t="e">
        <f>FIND(LOWER('Ипотечный калькулятор'!$C$52),LOWER(C344))</f>
        <v>#VALUE!</v>
      </c>
      <c r="L344" t="str">
        <f t="shared" si="8"/>
        <v/>
      </c>
    </row>
    <row r="345" spans="3:12">
      <c r="C345" t="s">
        <v>475</v>
      </c>
      <c r="J345" t="s">
        <v>143</v>
      </c>
      <c r="K345" t="e">
        <f>FIND(LOWER('Ипотечный калькулятор'!$C$52),LOWER(C345))</f>
        <v>#VALUE!</v>
      </c>
      <c r="L345" t="str">
        <f t="shared" si="8"/>
        <v/>
      </c>
    </row>
    <row r="346" spans="3:12">
      <c r="C346" t="s">
        <v>476</v>
      </c>
      <c r="J346" t="s">
        <v>158</v>
      </c>
      <c r="K346" t="e">
        <f>FIND(LOWER('Ипотечный калькулятор'!$C$52),LOWER(C346))</f>
        <v>#VALUE!</v>
      </c>
      <c r="L346" t="str">
        <f t="shared" si="8"/>
        <v/>
      </c>
    </row>
    <row r="347" spans="3:12">
      <c r="C347" t="s">
        <v>477</v>
      </c>
      <c r="J347" t="s">
        <v>160</v>
      </c>
      <c r="K347" t="e">
        <f>FIND(LOWER('Ипотечный калькулятор'!$C$52),LOWER(C347))</f>
        <v>#VALUE!</v>
      </c>
      <c r="L347" t="str">
        <f t="shared" si="8"/>
        <v/>
      </c>
    </row>
    <row r="348" spans="3:12">
      <c r="C348" t="s">
        <v>478</v>
      </c>
      <c r="J348" t="s">
        <v>160</v>
      </c>
      <c r="K348" t="e">
        <f>FIND(LOWER('Ипотечный калькулятор'!$C$52),LOWER(C348))</f>
        <v>#VALUE!</v>
      </c>
      <c r="L348" t="str">
        <f t="shared" si="8"/>
        <v/>
      </c>
    </row>
    <row r="349" spans="3:12">
      <c r="C349" t="s">
        <v>415</v>
      </c>
      <c r="J349" t="s">
        <v>163</v>
      </c>
      <c r="K349" t="e">
        <f>FIND(LOWER('Ипотечный калькулятор'!$C$52),LOWER(C349))</f>
        <v>#VALUE!</v>
      </c>
      <c r="L349" t="str">
        <f t="shared" si="8"/>
        <v/>
      </c>
    </row>
    <row r="350" spans="3:12">
      <c r="C350" t="s">
        <v>479</v>
      </c>
      <c r="J350" t="s">
        <v>309</v>
      </c>
      <c r="K350" t="e">
        <f>FIND(LOWER('Ипотечный калькулятор'!$C$52),LOWER(C350))</f>
        <v>#VALUE!</v>
      </c>
      <c r="L350" t="str">
        <f t="shared" si="8"/>
        <v/>
      </c>
    </row>
    <row r="351" spans="3:12">
      <c r="C351" t="s">
        <v>480</v>
      </c>
      <c r="J351" t="s">
        <v>481</v>
      </c>
      <c r="K351" t="e">
        <f>FIND(LOWER('Ипотечный калькулятор'!$C$52),LOWER(C351))</f>
        <v>#VALUE!</v>
      </c>
      <c r="L351" t="str">
        <f t="shared" si="8"/>
        <v/>
      </c>
    </row>
    <row r="352" spans="3:12">
      <c r="C352" t="s">
        <v>482</v>
      </c>
      <c r="J352" t="s">
        <v>168</v>
      </c>
      <c r="K352" t="e">
        <f>FIND(LOWER('Ипотечный калькулятор'!$C$52),LOWER(C352))</f>
        <v>#VALUE!</v>
      </c>
      <c r="L352" t="str">
        <f t="shared" si="8"/>
        <v/>
      </c>
    </row>
    <row r="353" spans="3:12">
      <c r="C353" t="s">
        <v>483</v>
      </c>
      <c r="J353" t="s">
        <v>398</v>
      </c>
      <c r="K353" t="e">
        <f>FIND(LOWER('Ипотечный калькулятор'!$C$52),LOWER(C353))</f>
        <v>#VALUE!</v>
      </c>
      <c r="L353" t="str">
        <f t="shared" si="8"/>
        <v/>
      </c>
    </row>
    <row r="354" spans="3:12">
      <c r="C354" t="s">
        <v>484</v>
      </c>
      <c r="J354" t="s">
        <v>399</v>
      </c>
      <c r="K354" t="e">
        <f>FIND(LOWER('Ипотечный калькулятор'!$C$52),LOWER(C354))</f>
        <v>#VALUE!</v>
      </c>
      <c r="L354" t="str">
        <f t="shared" si="8"/>
        <v/>
      </c>
    </row>
    <row r="355" spans="3:12">
      <c r="C355" t="s">
        <v>485</v>
      </c>
      <c r="J355" t="s">
        <v>486</v>
      </c>
      <c r="K355" t="e">
        <f>FIND(LOWER('Ипотечный калькулятор'!$C$52),LOWER(C355))</f>
        <v>#VALUE!</v>
      </c>
      <c r="L355" t="str">
        <f t="shared" si="8"/>
        <v/>
      </c>
    </row>
    <row r="356" spans="3:12">
      <c r="C356" t="s">
        <v>487</v>
      </c>
      <c r="J356" t="s">
        <v>172</v>
      </c>
      <c r="K356" t="e">
        <f>FIND(LOWER('Ипотечный калькулятор'!$C$52),LOWER(C356))</f>
        <v>#VALUE!</v>
      </c>
      <c r="L356" t="str">
        <f t="shared" si="8"/>
        <v/>
      </c>
    </row>
    <row r="357" spans="3:12">
      <c r="C357" t="s">
        <v>488</v>
      </c>
      <c r="J357" t="s">
        <v>489</v>
      </c>
      <c r="K357" t="e">
        <f>FIND(LOWER('Ипотечный калькулятор'!$C$52),LOWER(C357))</f>
        <v>#VALUE!</v>
      </c>
      <c r="L357" t="str">
        <f t="shared" si="8"/>
        <v/>
      </c>
    </row>
    <row r="358" spans="3:12">
      <c r="C358" t="s">
        <v>490</v>
      </c>
      <c r="J358" t="s">
        <v>491</v>
      </c>
      <c r="K358" t="e">
        <f>FIND(LOWER('Ипотечный калькулятор'!$C$52),LOWER(C358))</f>
        <v>#VALUE!</v>
      </c>
      <c r="L358" t="str">
        <f t="shared" si="8"/>
        <v/>
      </c>
    </row>
    <row r="359" spans="3:12">
      <c r="C359" t="s">
        <v>492</v>
      </c>
      <c r="J359" t="s">
        <v>447</v>
      </c>
      <c r="K359" t="e">
        <f>FIND(LOWER('Ипотечный калькулятор'!$C$52),LOWER(C359))</f>
        <v>#VALUE!</v>
      </c>
      <c r="L359" t="str">
        <f t="shared" si="8"/>
        <v/>
      </c>
    </row>
    <row r="360" spans="3:12">
      <c r="C360" t="s">
        <v>493</v>
      </c>
      <c r="J360" t="s">
        <v>185</v>
      </c>
      <c r="K360" t="e">
        <f>FIND(LOWER('Ипотечный калькулятор'!$C$52),LOWER(C360))</f>
        <v>#VALUE!</v>
      </c>
      <c r="L360" t="str">
        <f t="shared" si="8"/>
        <v/>
      </c>
    </row>
    <row r="361" spans="3:12">
      <c r="C361" t="s">
        <v>494</v>
      </c>
      <c r="J361" t="s">
        <v>185</v>
      </c>
      <c r="K361" t="e">
        <f>FIND(LOWER('Ипотечный калькулятор'!$C$52),LOWER(C361))</f>
        <v>#VALUE!</v>
      </c>
      <c r="L361" t="str">
        <f t="shared" si="8"/>
        <v/>
      </c>
    </row>
    <row r="362" spans="3:12">
      <c r="C362" t="s">
        <v>495</v>
      </c>
      <c r="J362" t="s">
        <v>185</v>
      </c>
      <c r="K362" t="e">
        <f>FIND(LOWER('Ипотечный калькулятор'!$C$52),LOWER(C362))</f>
        <v>#VALUE!</v>
      </c>
      <c r="L362" t="str">
        <f t="shared" si="8"/>
        <v/>
      </c>
    </row>
    <row r="363" spans="3:12">
      <c r="C363" t="s">
        <v>496</v>
      </c>
      <c r="J363" t="s">
        <v>497</v>
      </c>
      <c r="K363" t="e">
        <f>FIND(LOWER('Ипотечный калькулятор'!$C$52),LOWER(C363))</f>
        <v>#VALUE!</v>
      </c>
      <c r="L363" t="str">
        <f t="shared" si="8"/>
        <v/>
      </c>
    </row>
    <row r="364" spans="3:12">
      <c r="C364" t="s">
        <v>498</v>
      </c>
      <c r="J364" t="s">
        <v>499</v>
      </c>
      <c r="K364" t="e">
        <f>FIND(LOWER('Ипотечный калькулятор'!$C$52),LOWER(C364))</f>
        <v>#VALUE!</v>
      </c>
      <c r="L364" t="str">
        <f t="shared" si="8"/>
        <v/>
      </c>
    </row>
    <row r="365" spans="3:12">
      <c r="C365" t="s">
        <v>500</v>
      </c>
      <c r="J365" t="s">
        <v>194</v>
      </c>
      <c r="K365" t="e">
        <f>FIND(LOWER('Ипотечный калькулятор'!$C$52),LOWER(C365))</f>
        <v>#VALUE!</v>
      </c>
      <c r="L365" t="str">
        <f t="shared" si="8"/>
        <v/>
      </c>
    </row>
    <row r="366" spans="3:12">
      <c r="C366" t="s">
        <v>501</v>
      </c>
      <c r="J366" t="s">
        <v>194</v>
      </c>
      <c r="K366" t="e">
        <f>FIND(LOWER('Ипотечный калькулятор'!$C$52),LOWER(C366))</f>
        <v>#VALUE!</v>
      </c>
      <c r="L366" t="str">
        <f t="shared" si="8"/>
        <v/>
      </c>
    </row>
    <row r="367" spans="3:12">
      <c r="C367" t="s">
        <v>502</v>
      </c>
      <c r="J367" t="s">
        <v>194</v>
      </c>
      <c r="K367" t="e">
        <f>FIND(LOWER('Ипотечный калькулятор'!$C$52),LOWER(C367))</f>
        <v>#VALUE!</v>
      </c>
      <c r="L367" t="str">
        <f t="shared" si="8"/>
        <v/>
      </c>
    </row>
    <row r="368" spans="3:12">
      <c r="C368" t="s">
        <v>503</v>
      </c>
      <c r="J368" t="s">
        <v>504</v>
      </c>
      <c r="K368" t="e">
        <f>FIND(LOWER('Ипотечный калькулятор'!$C$52),LOWER(C368))</f>
        <v>#VALUE!</v>
      </c>
      <c r="L368" t="str">
        <f t="shared" si="8"/>
        <v/>
      </c>
    </row>
    <row r="369" spans="3:12">
      <c r="C369" t="s">
        <v>505</v>
      </c>
      <c r="J369" t="s">
        <v>506</v>
      </c>
      <c r="K369" t="e">
        <f>FIND(LOWER('Ипотечный калькулятор'!$C$52),LOWER(C369))</f>
        <v>#VALUE!</v>
      </c>
      <c r="L369" t="str">
        <f t="shared" si="8"/>
        <v/>
      </c>
    </row>
    <row r="370" spans="3:12">
      <c r="C370" t="s">
        <v>507</v>
      </c>
      <c r="J370" t="s">
        <v>198</v>
      </c>
      <c r="K370" t="e">
        <f>FIND(LOWER('Ипотечный калькулятор'!$C$52),LOWER(C370))</f>
        <v>#VALUE!</v>
      </c>
      <c r="L370" t="str">
        <f t="shared" si="8"/>
        <v/>
      </c>
    </row>
    <row r="371" spans="3:12">
      <c r="C371" t="s">
        <v>508</v>
      </c>
      <c r="J371" t="s">
        <v>509</v>
      </c>
      <c r="K371" t="e">
        <f>FIND(LOWER('Ипотечный калькулятор'!$C$52),LOWER(C371))</f>
        <v>#VALUE!</v>
      </c>
      <c r="L371" t="str">
        <f t="shared" si="8"/>
        <v/>
      </c>
    </row>
    <row r="372" spans="3:12">
      <c r="C372" t="s">
        <v>510</v>
      </c>
      <c r="J372" t="s">
        <v>310</v>
      </c>
      <c r="K372" t="e">
        <f>FIND(LOWER('Ипотечный калькулятор'!$C$52),LOWER(C372))</f>
        <v>#VALUE!</v>
      </c>
      <c r="L372" t="str">
        <f t="shared" si="8"/>
        <v/>
      </c>
    </row>
    <row r="373" spans="3:12">
      <c r="C373" t="s">
        <v>511</v>
      </c>
      <c r="J373" t="s">
        <v>203</v>
      </c>
      <c r="K373" t="e">
        <f>FIND(LOWER('Ипотечный калькулятор'!$C$52),LOWER(C373))</f>
        <v>#VALUE!</v>
      </c>
      <c r="L373" t="str">
        <f t="shared" si="8"/>
        <v/>
      </c>
    </row>
    <row r="374" spans="3:12">
      <c r="C374" t="s">
        <v>512</v>
      </c>
      <c r="J374" t="s">
        <v>203</v>
      </c>
      <c r="K374" t="e">
        <f>FIND(LOWER('Ипотечный калькулятор'!$C$52),LOWER(C374))</f>
        <v>#VALUE!</v>
      </c>
      <c r="L374" t="str">
        <f t="shared" si="8"/>
        <v/>
      </c>
    </row>
    <row r="375" spans="3:12">
      <c r="C375" t="s">
        <v>513</v>
      </c>
      <c r="J375" t="s">
        <v>514</v>
      </c>
      <c r="K375" t="e">
        <f>FIND(LOWER('Ипотечный калькулятор'!$C$52),LOWER(C375))</f>
        <v>#VALUE!</v>
      </c>
      <c r="L375" t="str">
        <f t="shared" si="8"/>
        <v/>
      </c>
    </row>
    <row r="376" spans="3:12">
      <c r="C376" t="s">
        <v>515</v>
      </c>
      <c r="J376" t="s">
        <v>516</v>
      </c>
      <c r="K376" t="e">
        <f>FIND(LOWER('Ипотечный калькулятор'!$C$52),LOWER(C376))</f>
        <v>#VALUE!</v>
      </c>
      <c r="L376" t="str">
        <f t="shared" si="8"/>
        <v/>
      </c>
    </row>
    <row r="377" spans="3:12">
      <c r="C377" t="s">
        <v>517</v>
      </c>
      <c r="J377" t="s">
        <v>376</v>
      </c>
      <c r="K377" t="e">
        <f>FIND(LOWER('Ипотечный калькулятор'!$C$52),LOWER(C377))</f>
        <v>#VALUE!</v>
      </c>
      <c r="L377" t="str">
        <f t="shared" si="8"/>
        <v/>
      </c>
    </row>
    <row r="378" spans="3:12">
      <c r="C378" t="s">
        <v>518</v>
      </c>
      <c r="J378" t="s">
        <v>209</v>
      </c>
      <c r="K378" t="e">
        <f>FIND(LOWER('Ипотечный калькулятор'!$C$52),LOWER(C378))</f>
        <v>#VALUE!</v>
      </c>
      <c r="L378" t="str">
        <f t="shared" si="8"/>
        <v/>
      </c>
    </row>
    <row r="379" spans="3:12">
      <c r="C379" t="s">
        <v>519</v>
      </c>
      <c r="J379" t="s">
        <v>209</v>
      </c>
      <c r="K379" t="e">
        <f>FIND(LOWER('Ипотечный калькулятор'!$C$52),LOWER(C379))</f>
        <v>#VALUE!</v>
      </c>
      <c r="L379" t="str">
        <f t="shared" si="8"/>
        <v/>
      </c>
    </row>
    <row r="380" spans="3:12">
      <c r="C380" t="s">
        <v>520</v>
      </c>
      <c r="J380" t="s">
        <v>411</v>
      </c>
      <c r="K380" t="e">
        <f>FIND(LOWER('Ипотечный калькулятор'!$C$52),LOWER(C380))</f>
        <v>#VALUE!</v>
      </c>
      <c r="L380" t="str">
        <f t="shared" si="8"/>
        <v/>
      </c>
    </row>
    <row r="381" spans="3:12">
      <c r="C381" t="s">
        <v>521</v>
      </c>
      <c r="J381" t="s">
        <v>411</v>
      </c>
      <c r="K381" t="e">
        <f>FIND(LOWER('Ипотечный калькулятор'!$C$52),LOWER(C381))</f>
        <v>#VALUE!</v>
      </c>
      <c r="L381" t="str">
        <f t="shared" si="8"/>
        <v/>
      </c>
    </row>
    <row r="382" spans="3:12">
      <c r="C382" t="s">
        <v>410</v>
      </c>
      <c r="J382" t="s">
        <v>411</v>
      </c>
      <c r="K382" t="e">
        <f>FIND(LOWER('Ипотечный калькулятор'!$C$52),LOWER(C382))</f>
        <v>#VALUE!</v>
      </c>
      <c r="L382" t="str">
        <f t="shared" si="8"/>
        <v/>
      </c>
    </row>
    <row r="383" spans="3:12">
      <c r="C383" t="s">
        <v>522</v>
      </c>
      <c r="J383" t="s">
        <v>213</v>
      </c>
      <c r="K383" t="e">
        <f>FIND(LOWER('Ипотечный калькулятор'!$C$52),LOWER(C383))</f>
        <v>#VALUE!</v>
      </c>
      <c r="L383" t="str">
        <f t="shared" si="8"/>
        <v/>
      </c>
    </row>
    <row r="384" spans="3:12">
      <c r="C384" t="s">
        <v>523</v>
      </c>
      <c r="J384" t="s">
        <v>213</v>
      </c>
      <c r="K384" t="e">
        <f>FIND(LOWER('Ипотечный калькулятор'!$C$52),LOWER(C384))</f>
        <v>#VALUE!</v>
      </c>
      <c r="L384" t="str">
        <f t="shared" ref="L384:L415" si="9">IF(IFERROR(K384,"")&lt;&gt;"",J384,"")</f>
        <v/>
      </c>
    </row>
    <row r="385" spans="3:12">
      <c r="C385" t="s">
        <v>524</v>
      </c>
      <c r="J385" t="s">
        <v>217</v>
      </c>
      <c r="K385" t="e">
        <f>FIND(LOWER('Ипотечный калькулятор'!$C$52),LOWER(C385))</f>
        <v>#VALUE!</v>
      </c>
      <c r="L385" t="str">
        <f t="shared" si="9"/>
        <v/>
      </c>
    </row>
    <row r="386" spans="3:12">
      <c r="C386" t="s">
        <v>525</v>
      </c>
      <c r="J386" t="s">
        <v>223</v>
      </c>
      <c r="K386" t="e">
        <f>FIND(LOWER('Ипотечный калькулятор'!$C$52),LOWER(C386))</f>
        <v>#VALUE!</v>
      </c>
      <c r="L386" t="str">
        <f t="shared" si="9"/>
        <v/>
      </c>
    </row>
    <row r="387" spans="3:12">
      <c r="C387" t="s">
        <v>526</v>
      </c>
      <c r="J387" t="s">
        <v>224</v>
      </c>
      <c r="K387" t="e">
        <f>FIND(LOWER('Ипотечный калькулятор'!$C$52),LOWER(C387))</f>
        <v>#VALUE!</v>
      </c>
      <c r="L387" t="str">
        <f t="shared" si="9"/>
        <v/>
      </c>
    </row>
    <row r="388" spans="3:12">
      <c r="C388" t="s">
        <v>527</v>
      </c>
      <c r="J388" t="s">
        <v>226</v>
      </c>
      <c r="K388" t="e">
        <f>FIND(LOWER('Ипотечный калькулятор'!$C$52),LOWER(C388))</f>
        <v>#VALUE!</v>
      </c>
      <c r="L388" t="str">
        <f t="shared" si="9"/>
        <v/>
      </c>
    </row>
    <row r="389" spans="3:12">
      <c r="C389" t="s">
        <v>528</v>
      </c>
      <c r="J389" t="s">
        <v>417</v>
      </c>
      <c r="K389" t="e">
        <f>FIND(LOWER('Ипотечный калькулятор'!$C$52),LOWER(C389))</f>
        <v>#VALUE!</v>
      </c>
      <c r="L389" t="str">
        <f t="shared" si="9"/>
        <v/>
      </c>
    </row>
    <row r="390" spans="3:12">
      <c r="C390" t="s">
        <v>529</v>
      </c>
      <c r="J390" t="s">
        <v>530</v>
      </c>
      <c r="K390" t="e">
        <f>FIND(LOWER('Ипотечный калькулятор'!$C$52),LOWER(C390))</f>
        <v>#VALUE!</v>
      </c>
      <c r="L390" t="str">
        <f t="shared" si="9"/>
        <v/>
      </c>
    </row>
    <row r="391" spans="3:12">
      <c r="C391" t="s">
        <v>531</v>
      </c>
      <c r="J391" t="s">
        <v>235</v>
      </c>
      <c r="K391" t="e">
        <f>FIND(LOWER('Ипотечный калькулятор'!$C$52),LOWER(C391))</f>
        <v>#VALUE!</v>
      </c>
      <c r="L391" t="str">
        <f t="shared" si="9"/>
        <v/>
      </c>
    </row>
    <row r="392" spans="3:12">
      <c r="C392" t="s">
        <v>532</v>
      </c>
      <c r="J392" t="s">
        <v>533</v>
      </c>
      <c r="K392" t="e">
        <f>FIND(LOWER('Ипотечный калькулятор'!$C$52),LOWER(C392))</f>
        <v>#VALUE!</v>
      </c>
      <c r="L392" t="str">
        <f t="shared" si="9"/>
        <v/>
      </c>
    </row>
    <row r="393" spans="3:12">
      <c r="C393" t="s">
        <v>534</v>
      </c>
      <c r="J393" t="s">
        <v>535</v>
      </c>
      <c r="K393" t="e">
        <f>FIND(LOWER('Ипотечный калькулятор'!$C$52),LOWER(C393))</f>
        <v>#VALUE!</v>
      </c>
      <c r="L393" t="str">
        <f t="shared" si="9"/>
        <v/>
      </c>
    </row>
    <row r="394" spans="3:12">
      <c r="C394" t="s">
        <v>536</v>
      </c>
      <c r="J394" t="s">
        <v>423</v>
      </c>
      <c r="K394" t="e">
        <f>FIND(LOWER('Ипотечный калькулятор'!$C$52),LOWER(C394))</f>
        <v>#VALUE!</v>
      </c>
      <c r="L394" t="str">
        <f t="shared" si="9"/>
        <v/>
      </c>
    </row>
    <row r="395" spans="3:12">
      <c r="C395" t="s">
        <v>537</v>
      </c>
      <c r="J395" t="s">
        <v>538</v>
      </c>
      <c r="K395" t="e">
        <f>FIND(LOWER('Ипотечный калькулятор'!$C$52),LOWER(C395))</f>
        <v>#VALUE!</v>
      </c>
      <c r="L395" t="str">
        <f t="shared" si="9"/>
        <v/>
      </c>
    </row>
    <row r="396" spans="3:12">
      <c r="C396" t="s">
        <v>539</v>
      </c>
      <c r="J396" t="s">
        <v>540</v>
      </c>
      <c r="K396" t="e">
        <f>FIND(LOWER('Ипотечный калькулятор'!$C$52),LOWER(C396))</f>
        <v>#VALUE!</v>
      </c>
      <c r="L396" t="str">
        <f t="shared" si="9"/>
        <v/>
      </c>
    </row>
    <row r="397" spans="3:12">
      <c r="C397" t="s">
        <v>541</v>
      </c>
      <c r="J397" t="s">
        <v>249</v>
      </c>
      <c r="K397" t="e">
        <f>FIND(LOWER('Ипотечный калькулятор'!$C$52),LOWER(C397))</f>
        <v>#VALUE!</v>
      </c>
      <c r="L397" t="str">
        <f t="shared" si="9"/>
        <v/>
      </c>
    </row>
    <row r="398" spans="3:12">
      <c r="C398" t="s">
        <v>542</v>
      </c>
      <c r="J398" t="s">
        <v>249</v>
      </c>
      <c r="K398" t="e">
        <f>FIND(LOWER('Ипотечный калькулятор'!$C$52),LOWER(C398))</f>
        <v>#VALUE!</v>
      </c>
      <c r="L398" t="str">
        <f t="shared" si="9"/>
        <v/>
      </c>
    </row>
    <row r="399" spans="3:12">
      <c r="C399" t="s">
        <v>543</v>
      </c>
      <c r="J399" t="s">
        <v>257</v>
      </c>
      <c r="K399" t="e">
        <f>FIND(LOWER('Ипотечный калькулятор'!$C$52),LOWER(C399))</f>
        <v>#VALUE!</v>
      </c>
      <c r="L399" t="str">
        <f t="shared" si="9"/>
        <v/>
      </c>
    </row>
    <row r="400" spans="3:12">
      <c r="C400" t="s">
        <v>544</v>
      </c>
      <c r="J400" t="s">
        <v>258</v>
      </c>
      <c r="K400" t="e">
        <f>FIND(LOWER('Ипотечный калькулятор'!$C$52),LOWER(C400))</f>
        <v>#VALUE!</v>
      </c>
      <c r="L400" t="str">
        <f t="shared" si="9"/>
        <v/>
      </c>
    </row>
    <row r="401" spans="3:12">
      <c r="C401" t="s">
        <v>545</v>
      </c>
      <c r="J401" t="s">
        <v>259</v>
      </c>
      <c r="K401" t="e">
        <f>FIND(LOWER('Ипотечный калькулятор'!$C$52),LOWER(C401))</f>
        <v>#VALUE!</v>
      </c>
      <c r="L401" t="str">
        <f t="shared" si="9"/>
        <v/>
      </c>
    </row>
    <row r="402" spans="3:12">
      <c r="C402" t="s">
        <v>412</v>
      </c>
      <c r="J402" t="s">
        <v>413</v>
      </c>
      <c r="K402" t="e">
        <f>FIND(LOWER('Ипотечный калькулятор'!$C$52),LOWER(C402))</f>
        <v>#VALUE!</v>
      </c>
      <c r="L402" t="str">
        <f t="shared" si="9"/>
        <v/>
      </c>
    </row>
    <row r="403" spans="3:12">
      <c r="C403" t="s">
        <v>546</v>
      </c>
      <c r="J403" t="s">
        <v>547</v>
      </c>
      <c r="K403" t="e">
        <f>FIND(LOWER('Ипотечный калькулятор'!$C$52),LOWER(C403))</f>
        <v>#VALUE!</v>
      </c>
      <c r="L403" t="str">
        <f t="shared" si="9"/>
        <v/>
      </c>
    </row>
    <row r="404" spans="3:12">
      <c r="C404" t="s">
        <v>548</v>
      </c>
      <c r="J404" t="s">
        <v>547</v>
      </c>
      <c r="K404" t="e">
        <f>FIND(LOWER('Ипотечный калькулятор'!$C$52),LOWER(C404))</f>
        <v>#VALUE!</v>
      </c>
      <c r="L404" t="str">
        <f t="shared" si="9"/>
        <v/>
      </c>
    </row>
    <row r="405" spans="3:12">
      <c r="C405" t="s">
        <v>549</v>
      </c>
      <c r="J405" t="s">
        <v>550</v>
      </c>
      <c r="K405" t="e">
        <f>FIND(LOWER('Ипотечный калькулятор'!$C$52),LOWER(C405))</f>
        <v>#VALUE!</v>
      </c>
      <c r="L405" t="str">
        <f t="shared" si="9"/>
        <v/>
      </c>
    </row>
    <row r="406" spans="3:12">
      <c r="C406" t="s">
        <v>551</v>
      </c>
      <c r="J406" t="s">
        <v>430</v>
      </c>
      <c r="K406" t="e">
        <f>FIND(LOWER('Ипотечный калькулятор'!$C$52),LOWER(C406))</f>
        <v>#VALUE!</v>
      </c>
      <c r="L406" t="str">
        <f t="shared" si="9"/>
        <v/>
      </c>
    </row>
    <row r="407" spans="3:12">
      <c r="C407" t="s">
        <v>552</v>
      </c>
      <c r="J407" t="s">
        <v>553</v>
      </c>
      <c r="K407" t="e">
        <f>FIND(LOWER('Ипотечный калькулятор'!$C$52),LOWER(C407))</f>
        <v>#VALUE!</v>
      </c>
      <c r="L407" t="str">
        <f t="shared" si="9"/>
        <v/>
      </c>
    </row>
    <row r="408" spans="3:12">
      <c r="C408" t="s">
        <v>554</v>
      </c>
      <c r="J408" t="s">
        <v>555</v>
      </c>
      <c r="K408" t="e">
        <f>FIND(LOWER('Ипотечный калькулятор'!$C$52),LOWER(C408))</f>
        <v>#VALUE!</v>
      </c>
      <c r="L408" t="str">
        <f>IF(IFERROR(K408,"")&lt;&gt;"",J408,"")</f>
        <v/>
      </c>
    </row>
    <row r="409" spans="3:12">
      <c r="C409" t="s">
        <v>556</v>
      </c>
      <c r="J409" t="s">
        <v>557</v>
      </c>
      <c r="K409" t="e">
        <f>FIND(LOWER('Ипотечный калькулятор'!$C$52),LOWER(C409))</f>
        <v>#VALUE!</v>
      </c>
      <c r="L409" t="str">
        <f t="shared" si="9"/>
        <v/>
      </c>
    </row>
    <row r="410" spans="3:12">
      <c r="C410" t="s">
        <v>558</v>
      </c>
      <c r="J410" t="s">
        <v>559</v>
      </c>
      <c r="K410" t="e">
        <f>FIND(LOWER('Ипотечный калькулятор'!$C$52),LOWER(C410))</f>
        <v>#VALUE!</v>
      </c>
      <c r="L410" t="str">
        <f t="shared" si="9"/>
        <v/>
      </c>
    </row>
    <row r="411" spans="3:12">
      <c r="C411" t="s">
        <v>560</v>
      </c>
      <c r="J411" t="s">
        <v>561</v>
      </c>
      <c r="K411" t="e">
        <f>FIND(LOWER('Ипотечный калькулятор'!$C$52),LOWER(C411))</f>
        <v>#VALUE!</v>
      </c>
      <c r="L411" t="str">
        <f t="shared" si="9"/>
        <v/>
      </c>
    </row>
    <row r="412" spans="3:12">
      <c r="C412" t="s">
        <v>562</v>
      </c>
      <c r="J412" t="s">
        <v>283</v>
      </c>
      <c r="K412" t="e">
        <f>FIND(LOWER('Ипотечный калькулятор'!$C$52),LOWER(C412))</f>
        <v>#VALUE!</v>
      </c>
      <c r="L412" t="str">
        <f t="shared" si="9"/>
        <v/>
      </c>
    </row>
    <row r="413" spans="3:12">
      <c r="C413" t="s">
        <v>563</v>
      </c>
      <c r="J413" t="s">
        <v>283</v>
      </c>
      <c r="K413" t="e">
        <f>FIND(LOWER('Ипотечный калькулятор'!$C$52),LOWER(C413))</f>
        <v>#VALUE!</v>
      </c>
      <c r="L413" t="str">
        <f t="shared" si="9"/>
        <v/>
      </c>
    </row>
    <row r="414" spans="3:12">
      <c r="C414" t="s">
        <v>409</v>
      </c>
      <c r="J414" t="s">
        <v>288</v>
      </c>
      <c r="K414" t="e">
        <f>FIND(LOWER('Ипотечный калькулятор'!$C$52),LOWER(C414))</f>
        <v>#VALUE!</v>
      </c>
      <c r="L414" t="str">
        <f t="shared" si="9"/>
        <v/>
      </c>
    </row>
    <row r="415" spans="3:12">
      <c r="C415" t="s">
        <v>606</v>
      </c>
      <c r="J415" t="s">
        <v>606</v>
      </c>
      <c r="K415" t="e">
        <f>FIND(LOWER('Ипотечный калькулятор'!$C$52),LOWER(C415))</f>
        <v>#VALUE!</v>
      </c>
      <c r="L415" t="str">
        <f t="shared" si="9"/>
        <v/>
      </c>
    </row>
    <row r="416" spans="3:12">
      <c r="C416" t="s">
        <v>607</v>
      </c>
      <c r="J416" t="s">
        <v>606</v>
      </c>
      <c r="K416" t="e">
        <f>FIND(LOWER('Ипотечный калькулятор'!$C$52),LOWER(C416))</f>
        <v>#VALUE!</v>
      </c>
      <c r="L416" t="str">
        <f>IF(IFERROR(K416,"")&lt;&gt;"",J416,"")</f>
        <v/>
      </c>
    </row>
    <row r="417" spans="3:12">
      <c r="C417" t="s">
        <v>608</v>
      </c>
      <c r="K417" t="e">
        <f>FIND(LOWER('Ипотечный калькулятор'!$C$52),LOWER(C417))</f>
        <v>#VALUE!</v>
      </c>
      <c r="L417" t="str">
        <f>IF(IFERROR(K417,"")&lt;&gt;"",C417,"")</f>
        <v/>
      </c>
    </row>
    <row r="418" spans="3:12">
      <c r="C418" t="s">
        <v>609</v>
      </c>
      <c r="K418" t="e">
        <f>FIND(LOWER('Ипотечный калькулятор'!$C$52),LOWER(C418))</f>
        <v>#VALUE!</v>
      </c>
      <c r="L418" t="str">
        <f t="shared" ref="L418:L424" si="10">IF(IFERROR(K418,"")&lt;&gt;"",C418,"")</f>
        <v/>
      </c>
    </row>
    <row r="419" spans="3:12">
      <c r="C419" t="s">
        <v>610</v>
      </c>
      <c r="K419" t="e">
        <f>FIND(LOWER('Ипотечный калькулятор'!$C$52),LOWER(C419))</f>
        <v>#VALUE!</v>
      </c>
      <c r="L419" t="str">
        <f t="shared" si="10"/>
        <v/>
      </c>
    </row>
    <row r="420" spans="3:12">
      <c r="C420" t="s">
        <v>611</v>
      </c>
      <c r="K420" t="e">
        <f>FIND(LOWER('Ипотечный калькулятор'!$C$52),LOWER(C420))</f>
        <v>#VALUE!</v>
      </c>
      <c r="L420" t="str">
        <f t="shared" si="10"/>
        <v/>
      </c>
    </row>
    <row r="421" spans="3:12">
      <c r="C421" t="s">
        <v>612</v>
      </c>
      <c r="J421" t="s">
        <v>297</v>
      </c>
      <c r="K421" t="e">
        <f>FIND(LOWER('Ипотечный калькулятор'!$C$52),LOWER(C421))</f>
        <v>#VALUE!</v>
      </c>
      <c r="L421" t="str">
        <f>IF(IFERROR(K421,"")&lt;&gt;"",J421,"")</f>
        <v/>
      </c>
    </row>
    <row r="422" spans="3:12">
      <c r="C422" t="s">
        <v>613</v>
      </c>
      <c r="K422" t="e">
        <f>FIND(LOWER('Ипотечный калькулятор'!$C$52),LOWER(C422))</f>
        <v>#VALUE!</v>
      </c>
      <c r="L422" t="str">
        <f t="shared" si="10"/>
        <v/>
      </c>
    </row>
    <row r="423" spans="3:12">
      <c r="C423" t="s">
        <v>614</v>
      </c>
      <c r="K423" t="e">
        <f>FIND(LOWER('Ипотечный калькулятор'!$C$52),LOWER(C423))</f>
        <v>#VALUE!</v>
      </c>
      <c r="L423" t="str">
        <f t="shared" si="10"/>
        <v/>
      </c>
    </row>
    <row r="424" spans="3:12">
      <c r="C424" t="s">
        <v>615</v>
      </c>
      <c r="K424" t="e">
        <f>FIND(LOWER('Ипотечный калькулятор'!$C$52),LOWER(C424))</f>
        <v>#VALUE!</v>
      </c>
      <c r="L424" t="str">
        <f t="shared" si="10"/>
        <v/>
      </c>
    </row>
    <row r="425" spans="3:12">
      <c r="C425" t="s">
        <v>616</v>
      </c>
      <c r="J425" t="s">
        <v>458</v>
      </c>
      <c r="K425">
        <f>FIND(LOWER('Ипотечный калькулятор'!$C$52),LOWER(C425))</f>
        <v>1</v>
      </c>
      <c r="L425" t="str">
        <f>IF(IFERROR(K425,"")&lt;&gt;"",J425,"")</f>
        <v>Электроугли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/>
  <dimension ref="A1:L24"/>
  <sheetViews>
    <sheetView zoomScale="85" zoomScaleNormal="85" workbookViewId="0">
      <selection activeCell="H2" sqref="H2"/>
    </sheetView>
  </sheetViews>
  <sheetFormatPr defaultRowHeight="15"/>
  <cols>
    <col min="1" max="1" width="57" bestFit="1" customWidth="1"/>
    <col min="2" max="2" width="10.28515625" bestFit="1" customWidth="1"/>
    <col min="6" max="6" width="32.42578125" bestFit="1" customWidth="1"/>
    <col min="7" max="7" width="34.5703125" bestFit="1" customWidth="1"/>
    <col min="8" max="8" width="7.140625" bestFit="1" customWidth="1"/>
    <col min="10" max="10" width="5.5703125" bestFit="1" customWidth="1"/>
    <col min="11" max="11" width="6.5703125" bestFit="1" customWidth="1"/>
    <col min="12" max="12" width="7.140625" bestFit="1" customWidth="1"/>
  </cols>
  <sheetData>
    <row r="1" spans="1:12">
      <c r="A1" t="s">
        <v>12</v>
      </c>
      <c r="B1" s="7">
        <f>'Ипотечный калькулятор'!C8</f>
        <v>7000000</v>
      </c>
      <c r="F1" s="1" t="s">
        <v>87</v>
      </c>
      <c r="G1" t="str">
        <f>'Ипотечный калькулятор'!C2</f>
        <v>Нет</v>
      </c>
      <c r="H1" t="str">
        <f>IF(G1="Да",B17%,"-")</f>
        <v>-</v>
      </c>
    </row>
    <row r="2" spans="1:12">
      <c r="A2" t="s">
        <v>86</v>
      </c>
      <c r="B2">
        <f>'Ипотечный калькулятор'!C12</f>
        <v>240</v>
      </c>
      <c r="F2" s="1" t="str">
        <f>IF(AND(B1&lt;=18000000,B1&gt;=1000000,B3&gt;=B16%),"норм.","ЛОЖЬ")</f>
        <v>норм.</v>
      </c>
      <c r="G2" t="s">
        <v>564</v>
      </c>
      <c r="H2" s="2">
        <f>L2</f>
        <v>4.8000000000000001E-2</v>
      </c>
      <c r="J2" s="30">
        <f>B19</f>
        <v>4.8</v>
      </c>
      <c r="K2" s="3">
        <f>J2+B17</f>
        <v>4.8</v>
      </c>
      <c r="L2" s="28">
        <f>K2/100</f>
        <v>4.8000000000000001E-2</v>
      </c>
    </row>
    <row r="3" spans="1:12">
      <c r="A3" t="s">
        <v>41</v>
      </c>
      <c r="B3" s="3">
        <f>'Ипотечный калькулятор'!C14</f>
        <v>0.41699999999999998</v>
      </c>
      <c r="H3" s="2"/>
      <c r="J3" s="30"/>
      <c r="K3" s="3"/>
      <c r="L3" s="28"/>
    </row>
    <row r="4" spans="1:12">
      <c r="A4" t="s">
        <v>44</v>
      </c>
      <c r="B4">
        <f>'Ипотечный калькулятор'!C17</f>
        <v>0</v>
      </c>
      <c r="H4" s="2"/>
      <c r="J4" s="30"/>
      <c r="K4" s="3"/>
      <c r="L4" s="28"/>
    </row>
    <row r="5" spans="1:12">
      <c r="A5" t="s">
        <v>47</v>
      </c>
      <c r="H5" s="2"/>
      <c r="J5" s="30"/>
      <c r="K5" s="3"/>
      <c r="L5" s="28"/>
    </row>
    <row r="6" spans="1:12">
      <c r="A6" t="s">
        <v>48</v>
      </c>
      <c r="B6" s="28" t="e">
        <f>IF(B3&gt;=B16%,VLOOKUP($F$2,$G$2:$H$2,2,1)+VLOOKUP(F21,G21:H24,2,0)-$H$1-H20,"#Н/Д")</f>
        <v>#VALUE!</v>
      </c>
      <c r="H6" s="2"/>
      <c r="J6" s="30"/>
      <c r="K6" s="3"/>
      <c r="L6" s="28"/>
    </row>
    <row r="7" spans="1:12">
      <c r="A7" t="s">
        <v>49</v>
      </c>
      <c r="B7" t="str">
        <f>'Ипотечный калькулятор'!C22</f>
        <v>Да</v>
      </c>
      <c r="H7" s="2"/>
      <c r="J7" s="30"/>
      <c r="K7" s="3"/>
      <c r="L7" s="28"/>
    </row>
    <row r="8" spans="1:12">
      <c r="A8" t="s">
        <v>50</v>
      </c>
      <c r="B8" t="str">
        <f>'Ипотечный калькулятор'!C23</f>
        <v>Да</v>
      </c>
      <c r="H8" s="2"/>
      <c r="J8" s="30"/>
      <c r="K8" s="3"/>
      <c r="L8" s="28"/>
    </row>
    <row r="9" spans="1:12">
      <c r="A9" t="s">
        <v>51</v>
      </c>
      <c r="H9" s="2"/>
      <c r="J9" s="30"/>
      <c r="K9" s="3"/>
      <c r="L9" s="28"/>
    </row>
    <row r="10" spans="1:12">
      <c r="A10" t="s">
        <v>88</v>
      </c>
      <c r="B10" s="7" t="e">
        <f>-PMT($B$6/12,$B$2,$B$1,0,0)</f>
        <v>#VALUE!</v>
      </c>
      <c r="H10" s="2"/>
      <c r="J10" s="30"/>
      <c r="K10" s="3"/>
      <c r="L10" s="28"/>
    </row>
    <row r="11" spans="1:12">
      <c r="A11" t="s">
        <v>53</v>
      </c>
      <c r="B11" s="7" t="e">
        <f>B10*B2-B1</f>
        <v>#VALUE!</v>
      </c>
      <c r="H11" s="2"/>
      <c r="J11" s="30"/>
      <c r="K11" s="3"/>
      <c r="L11" s="28"/>
    </row>
    <row r="12" spans="1:12">
      <c r="H12" s="2"/>
      <c r="J12" s="30"/>
      <c r="K12" s="3"/>
      <c r="L12" s="28"/>
    </row>
    <row r="13" spans="1:12">
      <c r="H13" s="2"/>
      <c r="J13" s="30"/>
      <c r="K13" s="3"/>
      <c r="L13" s="28"/>
    </row>
    <row r="14" spans="1:12">
      <c r="H14" s="2"/>
      <c r="J14" s="30"/>
      <c r="K14" s="3"/>
      <c r="L14" s="28"/>
    </row>
    <row r="15" spans="1:12" ht="15.75" thickBot="1">
      <c r="H15" s="2"/>
      <c r="J15" s="30"/>
      <c r="K15" s="3"/>
      <c r="L15" s="28"/>
    </row>
    <row r="16" spans="1:12" ht="24" thickBot="1">
      <c r="A16" s="61" t="s">
        <v>565</v>
      </c>
      <c r="B16" s="60">
        <v>30.01</v>
      </c>
      <c r="H16" s="2"/>
      <c r="J16" s="30"/>
      <c r="K16" s="3"/>
      <c r="L16" s="28"/>
    </row>
    <row r="17" spans="1:12" ht="24" thickBot="1">
      <c r="A17" s="56" t="s">
        <v>566</v>
      </c>
      <c r="B17" s="59">
        <v>0</v>
      </c>
      <c r="H17" s="2"/>
      <c r="J17" s="30"/>
      <c r="K17" s="3"/>
      <c r="L17" s="28"/>
    </row>
    <row r="18" spans="1:12" ht="15.75" thickBot="1">
      <c r="L18" s="4"/>
    </row>
    <row r="19" spans="1:12" ht="24" thickBot="1">
      <c r="A19" s="61" t="str">
        <f>"ОТ "&amp;B16&amp;"%"</f>
        <v>ОТ 30,01%</v>
      </c>
      <c r="B19" s="60">
        <v>4.8</v>
      </c>
    </row>
    <row r="20" spans="1:12">
      <c r="F20" t="s">
        <v>567</v>
      </c>
      <c r="G20" t="str">
        <f>'Ипотечный калькулятор'!C7</f>
        <v>да</v>
      </c>
      <c r="H20">
        <f>IF(G20="да",0,0)</f>
        <v>0</v>
      </c>
    </row>
    <row r="21" spans="1:12">
      <c r="F21" s="1" t="str">
        <f>B7&amp;B8</f>
        <v>ДаДа</v>
      </c>
      <c r="G21" t="s">
        <v>91</v>
      </c>
      <c r="H21" s="6">
        <v>0.05</v>
      </c>
    </row>
    <row r="22" spans="1:12">
      <c r="G22" t="s">
        <v>92</v>
      </c>
      <c r="H22" s="6">
        <v>0.04</v>
      </c>
    </row>
    <row r="23" spans="1:12">
      <c r="G23" t="s">
        <v>93</v>
      </c>
      <c r="H23" s="6">
        <v>0.01</v>
      </c>
    </row>
    <row r="24" spans="1:12">
      <c r="G24" t="s">
        <v>94</v>
      </c>
      <c r="H24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5"/>
  <dimension ref="A1:N317"/>
  <sheetViews>
    <sheetView zoomScale="70" zoomScaleNormal="70" workbookViewId="0">
      <selection activeCell="G25" sqref="G25"/>
    </sheetView>
  </sheetViews>
  <sheetFormatPr defaultRowHeight="15"/>
  <cols>
    <col min="1" max="1" width="57" bestFit="1" customWidth="1"/>
    <col min="2" max="2" width="21.140625" bestFit="1" customWidth="1"/>
    <col min="3" max="3" width="10.28515625" bestFit="1" customWidth="1"/>
    <col min="6" max="6" width="33.42578125" bestFit="1" customWidth="1"/>
    <col min="7" max="7" width="43.42578125" customWidth="1"/>
    <col min="10" max="10" width="11.28515625" customWidth="1"/>
    <col min="11" max="12" width="9.140625" customWidth="1"/>
  </cols>
  <sheetData>
    <row r="1" spans="1:12">
      <c r="A1" t="s">
        <v>12</v>
      </c>
      <c r="B1" s="7" t="str">
        <f>IF('Ипотечный калькулятор'!C8&gt;B25,"Превышение максимальной суммы",'Ипотечный калькулятор'!C8)</f>
        <v>Превышение максимальной суммы</v>
      </c>
      <c r="F1" s="1" t="s">
        <v>87</v>
      </c>
      <c r="G1" t="str">
        <f>'Ипотечный калькулятор'!C2</f>
        <v>Нет</v>
      </c>
      <c r="H1">
        <f>IF(G1="Да",0,0)</f>
        <v>0</v>
      </c>
      <c r="L1" s="4"/>
    </row>
    <row r="2" spans="1:12">
      <c r="A2" t="s">
        <v>86</v>
      </c>
      <c r="B2">
        <f>'Ипотечный калькулятор'!C12</f>
        <v>240</v>
      </c>
      <c r="F2" s="1" t="str">
        <f>IF(B3&lt;B20%,"ПВ от "&amp;B20&amp;"%",IF(B3&gt;=B20%,"&gt;="&amp;B20&amp;"%"))</f>
        <v>&gt;=30.01%</v>
      </c>
      <c r="G2" t="str">
        <f>"&lt;"&amp;B20&amp;"%"</f>
        <v>&lt;30,01%</v>
      </c>
      <c r="H2" s="2">
        <f>J2</f>
        <v>7.9000000000000001E-2</v>
      </c>
      <c r="J2" s="30">
        <f t="shared" ref="J2:J5" si="0">$B$23/100</f>
        <v>7.9000000000000001E-2</v>
      </c>
      <c r="K2" s="3"/>
      <c r="L2" s="3"/>
    </row>
    <row r="3" spans="1:12">
      <c r="A3" t="s">
        <v>41</v>
      </c>
      <c r="B3" s="3">
        <f>'Ипотечный калькулятор'!C14</f>
        <v>0.41699999999999998</v>
      </c>
      <c r="G3" t="str">
        <f>"&lt;"&amp;B20&amp;"%"</f>
        <v>&lt;30,01%</v>
      </c>
      <c r="H3" s="2">
        <f t="shared" ref="H3:H7" si="1">J3</f>
        <v>7.9000000000000001E-2</v>
      </c>
      <c r="J3" s="30">
        <f t="shared" si="0"/>
        <v>7.9000000000000001E-2</v>
      </c>
      <c r="K3" s="4"/>
      <c r="L3" s="4"/>
    </row>
    <row r="4" spans="1:12">
      <c r="A4" t="s">
        <v>44</v>
      </c>
      <c r="B4">
        <f>'Ипотечный калькулятор'!C17</f>
        <v>0</v>
      </c>
      <c r="G4" t="str">
        <f>"&lt;"&amp;B20&amp;"%"</f>
        <v>&lt;30,01%</v>
      </c>
      <c r="H4" s="2">
        <f t="shared" si="1"/>
        <v>7.9000000000000001E-2</v>
      </c>
      <c r="J4" s="30">
        <f t="shared" si="0"/>
        <v>7.9000000000000001E-2</v>
      </c>
    </row>
    <row r="5" spans="1:12">
      <c r="A5" t="s">
        <v>47</v>
      </c>
      <c r="G5" t="str">
        <f>"&gt;="&amp;B20&amp;"%"</f>
        <v>&gt;=30,01%</v>
      </c>
      <c r="H5" s="2">
        <f t="shared" si="1"/>
        <v>7.9000000000000001E-2</v>
      </c>
      <c r="J5" s="30">
        <f t="shared" si="0"/>
        <v>7.9000000000000001E-2</v>
      </c>
    </row>
    <row r="6" spans="1:12">
      <c r="A6" t="s">
        <v>48</v>
      </c>
      <c r="B6" s="4" t="e">
        <f>VLOOKUP($F$2,$G$2:$H$7,2,0)+VLOOKUP(F9,G9:H12,2,0)+$H$1</f>
        <v>#N/A</v>
      </c>
      <c r="G6" t="str">
        <f>"&gt;="&amp;B20&amp;"%"</f>
        <v>&gt;=30,01%</v>
      </c>
      <c r="H6" s="2">
        <f t="shared" si="1"/>
        <v>7.9000000000000001E-2</v>
      </c>
      <c r="J6" s="30">
        <f t="shared" ref="J6:J7" si="2">$B$23/100</f>
        <v>7.9000000000000001E-2</v>
      </c>
    </row>
    <row r="7" spans="1:12">
      <c r="A7" t="s">
        <v>49</v>
      </c>
      <c r="B7" t="str">
        <f>'Ипотечный калькулятор'!C22</f>
        <v>Да</v>
      </c>
      <c r="G7" t="str">
        <f>"&gt;="&amp;B20&amp;"%"</f>
        <v>&gt;=30,01%</v>
      </c>
      <c r="H7" s="2">
        <f t="shared" si="1"/>
        <v>7.9000000000000001E-2</v>
      </c>
      <c r="J7" s="30">
        <f t="shared" si="2"/>
        <v>7.9000000000000001E-2</v>
      </c>
    </row>
    <row r="8" spans="1:12">
      <c r="A8" t="s">
        <v>50</v>
      </c>
      <c r="B8" t="str">
        <f>'Ипотечный калькулятор'!C23</f>
        <v>Да</v>
      </c>
      <c r="H8" s="2"/>
    </row>
    <row r="9" spans="1:12">
      <c r="A9" t="s">
        <v>51</v>
      </c>
      <c r="F9" s="1" t="str">
        <f>B7&amp;B8</f>
        <v>ДаДа</v>
      </c>
      <c r="G9" t="s">
        <v>91</v>
      </c>
      <c r="H9" s="6">
        <v>0.05</v>
      </c>
    </row>
    <row r="10" spans="1:12">
      <c r="A10" t="s">
        <v>88</v>
      </c>
      <c r="B10" s="7" t="e">
        <f>-PMT($B$6/12,$B$2,$B$1,0,0)</f>
        <v>#N/A</v>
      </c>
      <c r="G10" t="s">
        <v>92</v>
      </c>
      <c r="H10" s="6">
        <v>0.04</v>
      </c>
    </row>
    <row r="11" spans="1:12">
      <c r="A11" t="s">
        <v>53</v>
      </c>
      <c r="B11" s="7" t="e">
        <f>B10*B2-B1</f>
        <v>#N/A</v>
      </c>
      <c r="G11" t="s">
        <v>93</v>
      </c>
      <c r="H11" s="6">
        <v>0.01</v>
      </c>
    </row>
    <row r="12" spans="1:12">
      <c r="A12" t="s">
        <v>53</v>
      </c>
      <c r="G12" t="s">
        <v>94</v>
      </c>
      <c r="H12" s="6">
        <v>0</v>
      </c>
    </row>
    <row r="13" spans="1:12">
      <c r="A13" t="s">
        <v>568</v>
      </c>
      <c r="B13" t="str">
        <f>IF('Ипотечный калькулятор'!C38=0.02,'Ипотека с господдержкой'!B1*'Ипотека с господдержкой'!K2,IF('Ипотечный калькулятор'!C38=0.035,'Ипотека с господдержкой'!B1*'Ипотека с господдержкой'!K3,""))</f>
        <v/>
      </c>
    </row>
    <row r="14" spans="1:12">
      <c r="B14" s="4"/>
    </row>
    <row r="15" spans="1:12">
      <c r="B15" s="7"/>
    </row>
    <row r="16" spans="1:12">
      <c r="D16" s="7"/>
    </row>
    <row r="17" spans="1:14">
      <c r="F17" s="7"/>
    </row>
    <row r="18" spans="1:14">
      <c r="F18" s="7"/>
    </row>
    <row r="19" spans="1:14" ht="15.75" thickBot="1">
      <c r="B19" s="7"/>
      <c r="C19" s="7"/>
      <c r="D19" s="7"/>
      <c r="E19" s="7"/>
      <c r="J19" s="7"/>
      <c r="K19" s="7"/>
      <c r="L19" s="7"/>
      <c r="M19" s="7"/>
      <c r="N19" s="7"/>
    </row>
    <row r="20" spans="1:14" ht="24" thickBot="1">
      <c r="A20" s="61" t="s">
        <v>565</v>
      </c>
      <c r="B20" s="60">
        <v>30.01</v>
      </c>
      <c r="C20" s="7"/>
      <c r="D20" s="7"/>
      <c r="E20" s="7"/>
      <c r="F20" s="7"/>
      <c r="G20" s="7"/>
      <c r="J20" s="7"/>
      <c r="K20" s="7"/>
      <c r="L20" s="7"/>
      <c r="M20" s="7"/>
    </row>
    <row r="21" spans="1:14">
      <c r="B21" s="7"/>
      <c r="C21" s="7"/>
      <c r="D21" s="7"/>
      <c r="E21" s="7"/>
      <c r="F21" s="7"/>
      <c r="G21" s="7"/>
      <c r="J21" s="7"/>
      <c r="K21" s="7"/>
      <c r="L21" s="7"/>
      <c r="M21" s="7"/>
    </row>
    <row r="22" spans="1:14" ht="15.75" thickBot="1">
      <c r="B22" s="7"/>
      <c r="C22" s="7"/>
      <c r="D22" s="7"/>
      <c r="E22" s="7"/>
      <c r="F22" s="7"/>
      <c r="G22" s="7"/>
      <c r="J22" s="7"/>
      <c r="K22" s="7"/>
      <c r="L22" s="7"/>
      <c r="M22" s="7"/>
    </row>
    <row r="23" spans="1:14" ht="24" thickBot="1">
      <c r="A23" s="61" t="str">
        <f>"ОТ "&amp;B20&amp;"%"</f>
        <v>ОТ 30,01%</v>
      </c>
      <c r="B23" s="60">
        <v>7.9</v>
      </c>
      <c r="C23" s="7"/>
      <c r="D23" s="7"/>
      <c r="E23" s="7"/>
      <c r="F23" s="7"/>
      <c r="G23" s="7"/>
      <c r="J23" s="7"/>
      <c r="K23" s="7"/>
      <c r="L23" s="7"/>
      <c r="M23" s="7"/>
    </row>
    <row r="24" spans="1:14" ht="15.75" thickBot="1">
      <c r="B24" s="7"/>
      <c r="C24" s="7"/>
      <c r="D24" s="7"/>
      <c r="E24" s="7"/>
      <c r="F24" s="7"/>
      <c r="G24" s="7"/>
      <c r="J24" s="7"/>
      <c r="K24" s="7"/>
      <c r="L24" s="7"/>
      <c r="M24" s="7"/>
    </row>
    <row r="25" spans="1:14" ht="24" thickBot="1">
      <c r="A25" s="61" t="s">
        <v>569</v>
      </c>
      <c r="B25" s="111">
        <v>6000000</v>
      </c>
      <c r="C25" s="7"/>
      <c r="D25" s="7"/>
      <c r="E25" s="7"/>
      <c r="F25" s="7"/>
      <c r="G25" s="7"/>
      <c r="J25" s="7"/>
      <c r="K25" s="7"/>
      <c r="L25" s="7"/>
      <c r="M25" s="7"/>
    </row>
    <row r="26" spans="1:14">
      <c r="B26" s="7"/>
      <c r="C26" s="7"/>
      <c r="D26" s="7"/>
      <c r="E26" s="7"/>
      <c r="F26" s="7"/>
      <c r="G26" s="7"/>
      <c r="J26" s="7"/>
      <c r="K26" s="7"/>
      <c r="L26" s="7"/>
      <c r="M26" s="7"/>
    </row>
    <row r="27" spans="1:14">
      <c r="B27" s="7"/>
      <c r="C27" s="7"/>
      <c r="D27" s="7"/>
      <c r="E27" s="7"/>
      <c r="F27" s="7"/>
      <c r="G27" s="7"/>
      <c r="J27" s="7"/>
      <c r="K27" s="7"/>
      <c r="L27" s="7"/>
      <c r="M27" s="7"/>
    </row>
    <row r="28" spans="1:14">
      <c r="B28" s="7"/>
      <c r="C28" s="7"/>
      <c r="D28" s="7"/>
      <c r="E28" s="7"/>
      <c r="F28" s="7"/>
      <c r="G28" s="7"/>
      <c r="J28" s="7"/>
      <c r="K28" s="7"/>
      <c r="L28" s="7"/>
      <c r="M28" s="7"/>
    </row>
    <row r="29" spans="1:14">
      <c r="B29" s="7"/>
      <c r="C29" s="7"/>
      <c r="D29" s="7"/>
      <c r="E29" s="7"/>
      <c r="F29" s="7"/>
      <c r="G29" s="7"/>
      <c r="J29" s="7"/>
      <c r="K29" s="7"/>
      <c r="L29" s="7"/>
      <c r="M29" s="7"/>
    </row>
    <row r="30" spans="1:14">
      <c r="B30" s="7"/>
      <c r="C30" s="7"/>
      <c r="D30" s="7"/>
      <c r="E30" s="7"/>
      <c r="F30" s="7"/>
      <c r="G30" s="7"/>
      <c r="J30" s="7"/>
      <c r="K30" s="7"/>
      <c r="L30" s="7"/>
      <c r="M30" s="7"/>
    </row>
    <row r="31" spans="1:14">
      <c r="B31" s="7"/>
      <c r="C31" s="7"/>
      <c r="D31" s="7"/>
      <c r="E31" s="7"/>
      <c r="F31" s="7"/>
      <c r="G31" s="7"/>
      <c r="J31" s="7"/>
      <c r="K31" s="7"/>
      <c r="L31" s="7"/>
      <c r="M31" s="7"/>
    </row>
    <row r="32" spans="1:14">
      <c r="B32" s="7"/>
      <c r="C32" s="7"/>
      <c r="D32" s="7"/>
      <c r="E32" s="7"/>
      <c r="F32" s="7"/>
      <c r="G32" s="7"/>
      <c r="J32" s="7"/>
      <c r="K32" s="7"/>
      <c r="L32" s="7"/>
      <c r="M32" s="7"/>
    </row>
    <row r="33" spans="2:13">
      <c r="B33" s="7"/>
      <c r="C33" s="7"/>
      <c r="D33" s="7"/>
      <c r="E33" s="7"/>
      <c r="F33" s="7"/>
      <c r="G33" s="7"/>
      <c r="J33" s="7"/>
      <c r="K33" s="7"/>
      <c r="L33" s="7"/>
      <c r="M33" s="7"/>
    </row>
    <row r="34" spans="2:13">
      <c r="B34" s="7"/>
      <c r="C34" s="7"/>
      <c r="D34" s="7"/>
      <c r="E34" s="7"/>
      <c r="F34" s="7"/>
      <c r="G34" s="7"/>
      <c r="J34" s="7"/>
      <c r="K34" s="7"/>
      <c r="L34" s="7"/>
      <c r="M34" s="7"/>
    </row>
    <row r="35" spans="2:13">
      <c r="B35" s="7"/>
      <c r="C35" s="7"/>
      <c r="D35" s="7"/>
      <c r="E35" s="7"/>
      <c r="F35" s="7"/>
      <c r="G35" s="7"/>
      <c r="J35" s="7"/>
      <c r="K35" s="7"/>
      <c r="L35" s="7"/>
      <c r="M35" s="7"/>
    </row>
    <row r="36" spans="2:13">
      <c r="B36" s="7"/>
      <c r="C36" s="7"/>
      <c r="D36" s="7"/>
      <c r="E36" s="7"/>
      <c r="F36" s="7"/>
      <c r="G36" s="7"/>
      <c r="J36" s="7"/>
      <c r="K36" s="7"/>
      <c r="L36" s="7"/>
      <c r="M36" s="7"/>
    </row>
    <row r="37" spans="2:13">
      <c r="B37" s="7"/>
      <c r="C37" s="7"/>
      <c r="D37" s="7"/>
      <c r="E37" s="7"/>
      <c r="F37" s="7"/>
      <c r="G37" s="7"/>
      <c r="J37" s="7"/>
      <c r="K37" s="7"/>
      <c r="L37" s="7"/>
      <c r="M37" s="7"/>
    </row>
    <row r="38" spans="2:13">
      <c r="B38" s="7"/>
      <c r="C38" s="7"/>
      <c r="D38" s="7"/>
      <c r="E38" s="7"/>
      <c r="F38" s="7"/>
      <c r="G38" s="7"/>
      <c r="J38" s="7"/>
      <c r="K38" s="7"/>
      <c r="L38" s="7"/>
      <c r="M38" s="7"/>
    </row>
    <row r="39" spans="2:13">
      <c r="B39" s="7"/>
      <c r="C39" s="7"/>
      <c r="D39" s="7"/>
      <c r="E39" s="7"/>
      <c r="F39" s="7"/>
      <c r="G39" s="7"/>
      <c r="J39" s="7"/>
      <c r="K39" s="7"/>
      <c r="L39" s="7"/>
      <c r="M39" s="7"/>
    </row>
    <row r="40" spans="2:13">
      <c r="B40" s="7"/>
      <c r="C40" s="7"/>
      <c r="D40" s="7"/>
      <c r="E40" s="7"/>
      <c r="F40" s="7"/>
      <c r="G40" s="7"/>
      <c r="J40" s="7"/>
      <c r="K40" s="7"/>
      <c r="L40" s="7"/>
      <c r="M40" s="7"/>
    </row>
    <row r="41" spans="2:13">
      <c r="B41" s="7"/>
      <c r="C41" s="7"/>
      <c r="D41" s="7"/>
      <c r="E41" s="7"/>
      <c r="F41" s="7"/>
      <c r="G41" s="7"/>
      <c r="J41" s="7"/>
      <c r="K41" s="7"/>
      <c r="L41" s="7"/>
      <c r="M41" s="7"/>
    </row>
    <row r="42" spans="2:13">
      <c r="B42" s="7"/>
      <c r="C42" s="7"/>
      <c r="D42" s="7"/>
      <c r="E42" s="7"/>
      <c r="F42" s="7"/>
      <c r="G42" s="7"/>
      <c r="J42" s="7"/>
      <c r="K42" s="7"/>
      <c r="L42" s="7"/>
      <c r="M42" s="7"/>
    </row>
    <row r="43" spans="2:13">
      <c r="B43" s="7"/>
      <c r="C43" s="7"/>
      <c r="D43" s="7"/>
      <c r="E43" s="7"/>
      <c r="F43" s="7"/>
      <c r="G43" s="7"/>
      <c r="J43" s="7"/>
      <c r="K43" s="7"/>
      <c r="L43" s="7"/>
      <c r="M43" s="7"/>
    </row>
    <row r="44" spans="2:13">
      <c r="B44" s="7"/>
      <c r="C44" s="7"/>
      <c r="D44" s="7"/>
      <c r="E44" s="7"/>
      <c r="F44" s="7"/>
      <c r="G44" s="7"/>
      <c r="J44" s="7"/>
      <c r="K44" s="7"/>
      <c r="L44" s="7"/>
      <c r="M44" s="7"/>
    </row>
    <row r="45" spans="2:13">
      <c r="B45" s="7"/>
      <c r="C45" s="7"/>
      <c r="D45" s="7"/>
      <c r="E45" s="7"/>
      <c r="F45" s="7"/>
      <c r="G45" s="7"/>
      <c r="J45" s="7"/>
      <c r="K45" s="7"/>
      <c r="L45" s="7"/>
      <c r="M45" s="7"/>
    </row>
    <row r="46" spans="2:13">
      <c r="B46" s="7"/>
      <c r="C46" s="7"/>
      <c r="D46" s="7"/>
      <c r="E46" s="7"/>
      <c r="F46" s="7"/>
      <c r="G46" s="7"/>
      <c r="J46" s="7"/>
      <c r="K46" s="7"/>
      <c r="L46" s="7"/>
      <c r="M46" s="7"/>
    </row>
    <row r="47" spans="2:13">
      <c r="B47" s="7"/>
      <c r="C47" s="7"/>
      <c r="D47" s="7"/>
      <c r="E47" s="7"/>
      <c r="F47" s="7"/>
      <c r="G47" s="7"/>
      <c r="J47" s="7"/>
      <c r="K47" s="7"/>
      <c r="L47" s="7"/>
      <c r="M47" s="7"/>
    </row>
    <row r="48" spans="2:13">
      <c r="B48" s="7"/>
      <c r="C48" s="7"/>
      <c r="D48" s="7"/>
      <c r="E48" s="7"/>
      <c r="F48" s="7"/>
      <c r="G48" s="7"/>
      <c r="J48" s="7"/>
      <c r="K48" s="7"/>
      <c r="L48" s="7"/>
      <c r="M48" s="7"/>
    </row>
    <row r="49" spans="2:13">
      <c r="B49" s="7"/>
      <c r="C49" s="7"/>
      <c r="D49" s="7"/>
      <c r="E49" s="7"/>
      <c r="F49" s="7"/>
      <c r="G49" s="7"/>
      <c r="J49" s="7"/>
      <c r="K49" s="7"/>
      <c r="L49" s="7"/>
      <c r="M49" s="7"/>
    </row>
    <row r="50" spans="2:13">
      <c r="B50" s="7"/>
      <c r="C50" s="7"/>
      <c r="D50" s="7"/>
      <c r="E50" s="7"/>
      <c r="F50" s="7"/>
      <c r="G50" s="7"/>
      <c r="J50" s="7"/>
      <c r="K50" s="7"/>
      <c r="L50" s="7"/>
      <c r="M50" s="7"/>
    </row>
    <row r="51" spans="2:13">
      <c r="B51" s="7"/>
      <c r="C51" s="7"/>
      <c r="D51" s="7"/>
      <c r="E51" s="7"/>
      <c r="F51" s="7"/>
      <c r="G51" s="7"/>
      <c r="J51" s="7"/>
      <c r="K51" s="7"/>
      <c r="L51" s="7"/>
      <c r="M51" s="7"/>
    </row>
    <row r="52" spans="2:13">
      <c r="B52" s="7"/>
      <c r="C52" s="7"/>
      <c r="D52" s="7"/>
      <c r="E52" s="7"/>
      <c r="F52" s="7"/>
      <c r="G52" s="7"/>
      <c r="J52" s="7"/>
      <c r="K52" s="7"/>
      <c r="L52" s="7"/>
      <c r="M52" s="7"/>
    </row>
    <row r="53" spans="2:13">
      <c r="B53" s="7"/>
      <c r="C53" s="7"/>
      <c r="D53" s="7"/>
      <c r="E53" s="7"/>
      <c r="F53" s="7"/>
      <c r="G53" s="7"/>
      <c r="J53" s="7"/>
      <c r="K53" s="7"/>
      <c r="L53" s="7"/>
      <c r="M53" s="7"/>
    </row>
    <row r="54" spans="2:13">
      <c r="B54" s="7"/>
      <c r="C54" s="7"/>
      <c r="D54" s="7"/>
      <c r="E54" s="7"/>
      <c r="F54" s="7"/>
      <c r="G54" s="7"/>
      <c r="J54" s="7"/>
      <c r="K54" s="7"/>
      <c r="L54" s="7"/>
      <c r="M54" s="7"/>
    </row>
    <row r="55" spans="2:13">
      <c r="B55" s="7"/>
      <c r="C55" s="7"/>
      <c r="D55" s="7"/>
      <c r="E55" s="7"/>
      <c r="F55" s="7"/>
      <c r="G55" s="7"/>
      <c r="J55" s="7"/>
      <c r="K55" s="7"/>
      <c r="L55" s="7"/>
      <c r="M55" s="7"/>
    </row>
    <row r="56" spans="2:13">
      <c r="B56" s="7"/>
      <c r="C56" s="7"/>
      <c r="D56" s="7"/>
      <c r="E56" s="7"/>
      <c r="F56" s="7"/>
      <c r="G56" s="7"/>
      <c r="J56" s="7"/>
      <c r="K56" s="7"/>
      <c r="L56" s="7"/>
      <c r="M56" s="7"/>
    </row>
    <row r="57" spans="2:13">
      <c r="B57" s="7"/>
      <c r="C57" s="7"/>
      <c r="D57" s="7"/>
      <c r="E57" s="7"/>
      <c r="F57" s="7"/>
      <c r="G57" s="7"/>
      <c r="J57" s="7"/>
      <c r="K57" s="7"/>
      <c r="L57" s="7"/>
      <c r="M57" s="7"/>
    </row>
    <row r="58" spans="2:13">
      <c r="B58" s="7"/>
      <c r="C58" s="7"/>
      <c r="D58" s="7"/>
      <c r="E58" s="7"/>
      <c r="F58" s="7"/>
      <c r="G58" s="7"/>
      <c r="J58" s="7"/>
      <c r="K58" s="7"/>
      <c r="L58" s="7"/>
      <c r="M58" s="7"/>
    </row>
    <row r="59" spans="2:13">
      <c r="B59" s="7"/>
      <c r="C59" s="7"/>
      <c r="D59" s="7"/>
      <c r="E59" s="7"/>
      <c r="F59" s="7"/>
      <c r="G59" s="7"/>
      <c r="J59" s="7"/>
      <c r="K59" s="7"/>
      <c r="L59" s="7"/>
      <c r="M59" s="7"/>
    </row>
    <row r="60" spans="2:13">
      <c r="B60" s="7"/>
      <c r="C60" s="7"/>
      <c r="D60" s="7"/>
      <c r="E60" s="7"/>
      <c r="F60" s="7"/>
      <c r="G60" s="7"/>
      <c r="J60" s="7"/>
      <c r="K60" s="7"/>
      <c r="L60" s="7"/>
      <c r="M60" s="7"/>
    </row>
    <row r="61" spans="2:13">
      <c r="B61" s="7"/>
      <c r="C61" s="7"/>
      <c r="D61" s="7"/>
      <c r="E61" s="7"/>
      <c r="F61" s="7"/>
      <c r="G61" s="7"/>
      <c r="J61" s="7"/>
      <c r="K61" s="7"/>
      <c r="L61" s="7"/>
      <c r="M61" s="7"/>
    </row>
    <row r="62" spans="2:13">
      <c r="B62" s="7"/>
      <c r="C62" s="7"/>
      <c r="D62" s="7"/>
      <c r="E62" s="7"/>
      <c r="F62" s="7"/>
      <c r="G62" s="7"/>
      <c r="J62" s="7"/>
      <c r="K62" s="7"/>
      <c r="L62" s="7"/>
      <c r="M62" s="7"/>
    </row>
    <row r="63" spans="2:13">
      <c r="B63" s="7"/>
      <c r="C63" s="7"/>
      <c r="D63" s="7"/>
      <c r="E63" s="7"/>
      <c r="F63" s="7"/>
      <c r="G63" s="7"/>
      <c r="J63" s="7"/>
      <c r="K63" s="7"/>
      <c r="L63" s="7"/>
      <c r="M63" s="7"/>
    </row>
    <row r="64" spans="2:13">
      <c r="B64" s="7"/>
      <c r="C64" s="7"/>
      <c r="D64" s="7"/>
      <c r="E64" s="7"/>
      <c r="F64" s="7"/>
      <c r="G64" s="7"/>
      <c r="J64" s="7"/>
      <c r="K64" s="7"/>
      <c r="L64" s="7"/>
      <c r="M64" s="7"/>
    </row>
    <row r="65" spans="2:13">
      <c r="B65" s="7"/>
      <c r="C65" s="7"/>
      <c r="D65" s="7"/>
      <c r="E65" s="7"/>
      <c r="F65" s="7"/>
      <c r="G65" s="7"/>
      <c r="J65" s="7"/>
      <c r="K65" s="7"/>
      <c r="L65" s="7"/>
      <c r="M65" s="7"/>
    </row>
    <row r="66" spans="2:13">
      <c r="B66" s="7"/>
      <c r="C66" s="7"/>
      <c r="D66" s="7"/>
      <c r="E66" s="7"/>
      <c r="F66" s="7"/>
      <c r="G66" s="7"/>
      <c r="J66" s="7"/>
      <c r="K66" s="7"/>
      <c r="L66" s="7"/>
      <c r="M66" s="7"/>
    </row>
    <row r="67" spans="2:13">
      <c r="B67" s="7"/>
      <c r="C67" s="7"/>
      <c r="D67" s="7"/>
      <c r="E67" s="7"/>
      <c r="F67" s="7"/>
      <c r="G67" s="7"/>
      <c r="J67" s="7"/>
      <c r="K67" s="7"/>
      <c r="L67" s="7"/>
      <c r="M67" s="7"/>
    </row>
    <row r="68" spans="2:13">
      <c r="B68" s="7"/>
      <c r="C68" s="7"/>
      <c r="D68" s="7"/>
      <c r="E68" s="7"/>
      <c r="F68" s="7"/>
      <c r="G68" s="7"/>
      <c r="J68" s="7"/>
      <c r="K68" s="7"/>
      <c r="L68" s="7"/>
      <c r="M68" s="7"/>
    </row>
    <row r="69" spans="2:13">
      <c r="B69" s="7"/>
      <c r="C69" s="7"/>
      <c r="D69" s="7"/>
      <c r="E69" s="7"/>
      <c r="F69" s="7"/>
      <c r="G69" s="7"/>
      <c r="J69" s="7"/>
      <c r="K69" s="7"/>
      <c r="L69" s="7"/>
      <c r="M69" s="7"/>
    </row>
    <row r="70" spans="2:13">
      <c r="B70" s="7"/>
      <c r="C70" s="7"/>
      <c r="D70" s="7"/>
      <c r="E70" s="7"/>
      <c r="F70" s="7"/>
      <c r="G70" s="7"/>
      <c r="J70" s="7"/>
      <c r="K70" s="7"/>
      <c r="L70" s="7"/>
      <c r="M70" s="7"/>
    </row>
    <row r="71" spans="2:13">
      <c r="B71" s="7"/>
      <c r="C71" s="7"/>
      <c r="D71" s="7"/>
      <c r="E71" s="7"/>
      <c r="F71" s="7"/>
      <c r="G71" s="7"/>
      <c r="J71" s="7"/>
      <c r="K71" s="7"/>
      <c r="L71" s="7"/>
      <c r="M71" s="7"/>
    </row>
    <row r="72" spans="2:13">
      <c r="B72" s="7"/>
      <c r="C72" s="7"/>
      <c r="D72" s="7"/>
      <c r="E72" s="7"/>
      <c r="F72" s="7"/>
      <c r="G72" s="7"/>
      <c r="J72" s="7"/>
      <c r="K72" s="7"/>
      <c r="L72" s="7"/>
      <c r="M72" s="7"/>
    </row>
    <row r="73" spans="2:13">
      <c r="B73" s="7"/>
      <c r="C73" s="7"/>
      <c r="D73" s="7"/>
      <c r="E73" s="7"/>
      <c r="F73" s="7"/>
      <c r="G73" s="7"/>
      <c r="J73" s="7"/>
      <c r="K73" s="7"/>
      <c r="L73" s="7"/>
      <c r="M73" s="7"/>
    </row>
    <row r="74" spans="2:13">
      <c r="B74" s="7"/>
      <c r="C74" s="7"/>
      <c r="D74" s="7"/>
      <c r="E74" s="7"/>
      <c r="F74" s="7"/>
      <c r="G74" s="7"/>
      <c r="J74" s="7"/>
      <c r="K74" s="7"/>
      <c r="L74" s="7"/>
      <c r="M74" s="7"/>
    </row>
    <row r="75" spans="2:13">
      <c r="B75" s="7"/>
      <c r="C75" s="7"/>
      <c r="D75" s="7"/>
      <c r="E75" s="7"/>
      <c r="F75" s="7"/>
      <c r="G75" s="7"/>
      <c r="J75" s="7"/>
      <c r="K75" s="7"/>
      <c r="L75" s="7"/>
      <c r="M75" s="7"/>
    </row>
    <row r="76" spans="2:13">
      <c r="B76" s="7"/>
      <c r="C76" s="7"/>
      <c r="D76" s="7"/>
      <c r="E76" s="7"/>
      <c r="F76" s="7"/>
      <c r="G76" s="7"/>
      <c r="J76" s="7"/>
      <c r="K76" s="7"/>
      <c r="L76" s="7"/>
      <c r="M76" s="7"/>
    </row>
    <row r="77" spans="2:13">
      <c r="B77" s="7"/>
      <c r="C77" s="7"/>
      <c r="D77" s="7"/>
      <c r="E77" s="7"/>
      <c r="F77" s="7"/>
      <c r="G77" s="7"/>
      <c r="J77" s="7"/>
      <c r="K77" s="7"/>
      <c r="L77" s="7"/>
      <c r="M77" s="7"/>
    </row>
    <row r="78" spans="2:13">
      <c r="B78" s="7"/>
      <c r="C78" s="7"/>
      <c r="D78" s="7"/>
      <c r="E78" s="7"/>
      <c r="F78" s="7"/>
      <c r="G78" s="7"/>
      <c r="J78" s="7"/>
      <c r="K78" s="7"/>
      <c r="L78" s="7"/>
      <c r="M78" s="7"/>
    </row>
    <row r="79" spans="2:13">
      <c r="B79" s="7"/>
      <c r="C79" s="7"/>
      <c r="D79" s="7"/>
      <c r="E79" s="7"/>
      <c r="F79" s="7"/>
      <c r="G79" s="7"/>
      <c r="J79" s="7"/>
      <c r="K79" s="7"/>
      <c r="L79" s="7"/>
      <c r="M79" s="7"/>
    </row>
    <row r="80" spans="2:13">
      <c r="B80" s="7"/>
      <c r="C80" s="7"/>
      <c r="D80" s="7"/>
      <c r="E80" s="7"/>
      <c r="F80" s="7"/>
      <c r="G80" s="7"/>
      <c r="J80" s="7"/>
      <c r="K80" s="7"/>
      <c r="L80" s="7"/>
      <c r="M80" s="7"/>
    </row>
    <row r="81" spans="2:13">
      <c r="B81" s="7"/>
      <c r="C81" s="7"/>
      <c r="D81" s="7"/>
      <c r="E81" s="7"/>
      <c r="F81" s="7"/>
      <c r="G81" s="7"/>
      <c r="J81" s="7"/>
      <c r="K81" s="7"/>
      <c r="L81" s="7"/>
      <c r="M81" s="7"/>
    </row>
    <row r="82" spans="2:13">
      <c r="B82" s="7"/>
      <c r="C82" s="7"/>
      <c r="D82" s="7"/>
      <c r="E82" s="7"/>
      <c r="F82" s="7"/>
      <c r="G82" s="7"/>
      <c r="J82" s="7"/>
      <c r="K82" s="7"/>
      <c r="L82" s="7"/>
      <c r="M82" s="7"/>
    </row>
    <row r="83" spans="2:13">
      <c r="B83" s="7"/>
      <c r="C83" s="7"/>
      <c r="D83" s="7"/>
      <c r="E83" s="7"/>
      <c r="F83" s="7"/>
      <c r="G83" s="7"/>
      <c r="J83" s="7"/>
      <c r="K83" s="7"/>
      <c r="L83" s="7"/>
      <c r="M83" s="7"/>
    </row>
    <row r="84" spans="2:13">
      <c r="B84" s="7"/>
      <c r="C84" s="7"/>
      <c r="D84" s="7"/>
      <c r="E84" s="7"/>
      <c r="F84" s="7"/>
      <c r="G84" s="7"/>
      <c r="J84" s="7"/>
      <c r="K84" s="7"/>
      <c r="L84" s="7"/>
      <c r="M84" s="7"/>
    </row>
    <row r="85" spans="2:13">
      <c r="B85" s="7"/>
      <c r="C85" s="7"/>
      <c r="D85" s="7"/>
      <c r="E85" s="7"/>
      <c r="F85" s="7"/>
      <c r="G85" s="7"/>
      <c r="J85" s="7"/>
      <c r="K85" s="7"/>
      <c r="L85" s="7"/>
      <c r="M85" s="7"/>
    </row>
    <row r="86" spans="2:13">
      <c r="B86" s="7"/>
      <c r="C86" s="7"/>
      <c r="D86" s="7"/>
      <c r="E86" s="7"/>
      <c r="F86" s="7"/>
      <c r="G86" s="7"/>
      <c r="J86" s="7"/>
      <c r="K86" s="7"/>
      <c r="L86" s="7"/>
      <c r="M86" s="7"/>
    </row>
    <row r="87" spans="2:13">
      <c r="B87" s="7"/>
      <c r="C87" s="7"/>
      <c r="D87" s="7"/>
      <c r="E87" s="7"/>
      <c r="F87" s="7"/>
      <c r="G87" s="7"/>
      <c r="J87" s="7"/>
      <c r="K87" s="7"/>
      <c r="L87" s="7"/>
      <c r="M87" s="7"/>
    </row>
    <row r="88" spans="2:13">
      <c r="B88" s="7"/>
      <c r="C88" s="7"/>
      <c r="D88" s="7"/>
      <c r="E88" s="7"/>
      <c r="F88" s="7"/>
      <c r="G88" s="7"/>
      <c r="J88" s="7"/>
      <c r="K88" s="7"/>
      <c r="L88" s="7"/>
      <c r="M88" s="7"/>
    </row>
    <row r="89" spans="2:13">
      <c r="B89" s="7"/>
      <c r="C89" s="7"/>
      <c r="D89" s="7"/>
      <c r="E89" s="7"/>
      <c r="F89" s="7"/>
      <c r="G89" s="7"/>
      <c r="J89" s="7"/>
      <c r="K89" s="7"/>
      <c r="L89" s="7"/>
      <c r="M89" s="7"/>
    </row>
    <row r="90" spans="2:13">
      <c r="B90" s="7"/>
      <c r="C90" s="7"/>
      <c r="D90" s="7"/>
      <c r="E90" s="7"/>
      <c r="F90" s="7"/>
      <c r="G90" s="7"/>
      <c r="J90" s="7"/>
      <c r="K90" s="7"/>
      <c r="L90" s="7"/>
      <c r="M90" s="7"/>
    </row>
    <row r="91" spans="2:13">
      <c r="B91" s="7"/>
      <c r="C91" s="7"/>
      <c r="D91" s="7"/>
      <c r="E91" s="7"/>
      <c r="F91" s="7"/>
      <c r="G91" s="7"/>
      <c r="J91" s="7"/>
      <c r="K91" s="7"/>
      <c r="L91" s="7"/>
      <c r="M91" s="7"/>
    </row>
    <row r="92" spans="2:13">
      <c r="B92" s="7"/>
      <c r="C92" s="7"/>
      <c r="D92" s="7"/>
      <c r="E92" s="7"/>
      <c r="F92" s="7"/>
      <c r="G92" s="7"/>
      <c r="J92" s="7"/>
      <c r="K92" s="7"/>
      <c r="L92" s="7"/>
      <c r="M92" s="7"/>
    </row>
    <row r="93" spans="2:13">
      <c r="B93" s="7"/>
      <c r="C93" s="7"/>
      <c r="D93" s="7"/>
      <c r="E93" s="7"/>
      <c r="F93" s="7"/>
      <c r="G93" s="7"/>
      <c r="J93" s="7"/>
      <c r="K93" s="7"/>
      <c r="L93" s="7"/>
      <c r="M93" s="7"/>
    </row>
    <row r="94" spans="2:13">
      <c r="B94" s="7"/>
      <c r="C94" s="7"/>
      <c r="D94" s="7"/>
      <c r="E94" s="7"/>
      <c r="F94" s="7"/>
      <c r="G94" s="7"/>
      <c r="J94" s="7"/>
      <c r="K94" s="7"/>
      <c r="L94" s="7"/>
      <c r="M94" s="7"/>
    </row>
    <row r="95" spans="2:13">
      <c r="B95" s="7"/>
      <c r="C95" s="7"/>
      <c r="D95" s="7"/>
      <c r="E95" s="7"/>
      <c r="F95" s="7"/>
      <c r="G95" s="7"/>
      <c r="J95" s="7"/>
      <c r="K95" s="7"/>
      <c r="L95" s="7"/>
      <c r="M95" s="7"/>
    </row>
    <row r="96" spans="2:13">
      <c r="B96" s="7"/>
      <c r="C96" s="7"/>
      <c r="D96" s="7"/>
      <c r="E96" s="7"/>
      <c r="F96" s="7"/>
      <c r="G96" s="7"/>
      <c r="J96" s="7"/>
      <c r="K96" s="7"/>
      <c r="L96" s="7"/>
      <c r="M96" s="7"/>
    </row>
    <row r="97" spans="2:13">
      <c r="B97" s="7"/>
      <c r="C97" s="7"/>
      <c r="D97" s="7"/>
      <c r="E97" s="7"/>
      <c r="F97" s="7"/>
      <c r="G97" s="7"/>
      <c r="J97" s="7"/>
      <c r="K97" s="7"/>
      <c r="L97" s="7"/>
      <c r="M97" s="7"/>
    </row>
    <row r="98" spans="2:13">
      <c r="B98" s="7"/>
      <c r="C98" s="7"/>
      <c r="D98" s="7"/>
      <c r="E98" s="7"/>
      <c r="F98" s="7"/>
      <c r="G98" s="7"/>
      <c r="J98" s="7"/>
      <c r="K98" s="7"/>
      <c r="L98" s="7"/>
      <c r="M98" s="7"/>
    </row>
    <row r="99" spans="2:13">
      <c r="B99" s="7"/>
      <c r="C99" s="7"/>
      <c r="D99" s="7"/>
      <c r="E99" s="7"/>
      <c r="F99" s="7"/>
      <c r="G99" s="7"/>
      <c r="J99" s="7"/>
      <c r="K99" s="7"/>
      <c r="L99" s="7"/>
      <c r="M99" s="7"/>
    </row>
    <row r="100" spans="2:13">
      <c r="B100" s="7"/>
      <c r="C100" s="7"/>
      <c r="D100" s="7"/>
      <c r="E100" s="7"/>
      <c r="F100" s="7"/>
      <c r="G100" s="7"/>
      <c r="J100" s="7"/>
      <c r="K100" s="7"/>
      <c r="L100" s="7"/>
      <c r="M100" s="7"/>
    </row>
    <row r="101" spans="2:13">
      <c r="B101" s="7"/>
      <c r="C101" s="7"/>
      <c r="D101" s="7"/>
      <c r="E101" s="7"/>
      <c r="F101" s="7"/>
      <c r="G101" s="7"/>
      <c r="J101" s="7"/>
      <c r="K101" s="7"/>
      <c r="L101" s="7"/>
      <c r="M101" s="7"/>
    </row>
    <row r="102" spans="2:13">
      <c r="B102" s="7"/>
      <c r="C102" s="7"/>
      <c r="D102" s="7"/>
      <c r="E102" s="7"/>
      <c r="F102" s="7"/>
      <c r="G102" s="7"/>
      <c r="J102" s="7"/>
      <c r="K102" s="7"/>
      <c r="L102" s="7"/>
      <c r="M102" s="7"/>
    </row>
    <row r="103" spans="2:13">
      <c r="B103" s="7"/>
      <c r="C103" s="7"/>
      <c r="D103" s="7"/>
      <c r="E103" s="7"/>
      <c r="F103" s="7"/>
      <c r="G103" s="7"/>
      <c r="J103" s="7"/>
      <c r="K103" s="7"/>
      <c r="L103" s="7"/>
      <c r="M103" s="7"/>
    </row>
    <row r="104" spans="2:13">
      <c r="B104" s="7"/>
      <c r="C104" s="7"/>
      <c r="D104" s="7"/>
      <c r="E104" s="7"/>
      <c r="F104" s="7"/>
      <c r="G104" s="7"/>
      <c r="J104" s="7"/>
      <c r="K104" s="7"/>
      <c r="L104" s="7"/>
      <c r="M104" s="7"/>
    </row>
    <row r="105" spans="2:13">
      <c r="B105" s="7"/>
      <c r="C105" s="7"/>
      <c r="D105" s="7"/>
      <c r="E105" s="7"/>
      <c r="F105" s="7"/>
      <c r="G105" s="7"/>
      <c r="J105" s="7"/>
      <c r="K105" s="7"/>
      <c r="L105" s="7"/>
      <c r="M105" s="7"/>
    </row>
    <row r="106" spans="2:13">
      <c r="B106" s="7"/>
      <c r="C106" s="7"/>
      <c r="D106" s="7"/>
      <c r="E106" s="7"/>
      <c r="F106" s="7"/>
      <c r="G106" s="7"/>
      <c r="J106" s="7"/>
      <c r="K106" s="7"/>
      <c r="L106" s="7"/>
      <c r="M106" s="7"/>
    </row>
    <row r="107" spans="2:13">
      <c r="B107" s="7"/>
      <c r="C107" s="7"/>
      <c r="D107" s="7"/>
      <c r="E107" s="7"/>
      <c r="F107" s="7"/>
      <c r="G107" s="7"/>
      <c r="J107" s="7"/>
      <c r="K107" s="7"/>
      <c r="L107" s="7"/>
      <c r="M107" s="7"/>
    </row>
    <row r="108" spans="2:13">
      <c r="B108" s="7"/>
      <c r="C108" s="7"/>
      <c r="D108" s="7"/>
      <c r="E108" s="7"/>
      <c r="F108" s="7"/>
      <c r="G108" s="7"/>
      <c r="J108" s="7"/>
      <c r="K108" s="7"/>
      <c r="L108" s="7"/>
      <c r="M108" s="7"/>
    </row>
    <row r="109" spans="2:13">
      <c r="B109" s="7"/>
      <c r="C109" s="7"/>
      <c r="D109" s="7"/>
      <c r="E109" s="7"/>
      <c r="F109" s="7"/>
      <c r="G109" s="7"/>
      <c r="J109" s="7"/>
      <c r="K109" s="7"/>
      <c r="L109" s="7"/>
      <c r="M109" s="7"/>
    </row>
    <row r="110" spans="2:13">
      <c r="B110" s="7"/>
      <c r="C110" s="7"/>
      <c r="D110" s="7"/>
      <c r="E110" s="7"/>
      <c r="F110" s="7"/>
      <c r="G110" s="7"/>
      <c r="J110" s="7"/>
      <c r="K110" s="7"/>
      <c r="L110" s="7"/>
      <c r="M110" s="7"/>
    </row>
    <row r="111" spans="2:13">
      <c r="B111" s="7"/>
      <c r="C111" s="7"/>
      <c r="D111" s="7"/>
      <c r="E111" s="7"/>
      <c r="F111" s="7"/>
      <c r="G111" s="7"/>
      <c r="J111" s="7"/>
      <c r="K111" s="7"/>
      <c r="L111" s="7"/>
      <c r="M111" s="7"/>
    </row>
    <row r="112" spans="2:13">
      <c r="B112" s="7"/>
      <c r="C112" s="7"/>
      <c r="D112" s="7"/>
      <c r="E112" s="7"/>
      <c r="F112" s="7"/>
      <c r="G112" s="7"/>
      <c r="J112" s="7"/>
      <c r="K112" s="7"/>
      <c r="L112" s="7"/>
      <c r="M112" s="7"/>
    </row>
    <row r="113" spans="2:13">
      <c r="B113" s="7"/>
      <c r="C113" s="7"/>
      <c r="D113" s="7"/>
      <c r="E113" s="7"/>
      <c r="F113" s="7"/>
      <c r="G113" s="7"/>
      <c r="J113" s="7"/>
      <c r="K113" s="7"/>
      <c r="L113" s="7"/>
      <c r="M113" s="7"/>
    </row>
    <row r="114" spans="2:13">
      <c r="B114" s="7"/>
      <c r="C114" s="7"/>
      <c r="D114" s="7"/>
      <c r="E114" s="7"/>
      <c r="F114" s="7"/>
      <c r="G114" s="7"/>
      <c r="J114" s="7"/>
      <c r="K114" s="7"/>
      <c r="L114" s="7"/>
      <c r="M114" s="7"/>
    </row>
    <row r="115" spans="2:13">
      <c r="B115" s="7"/>
      <c r="C115" s="7"/>
      <c r="D115" s="7"/>
      <c r="E115" s="7"/>
      <c r="F115" s="7"/>
      <c r="G115" s="7"/>
      <c r="J115" s="7"/>
      <c r="K115" s="7"/>
      <c r="L115" s="7"/>
      <c r="M115" s="7"/>
    </row>
    <row r="116" spans="2:13">
      <c r="B116" s="7"/>
      <c r="C116" s="7"/>
      <c r="D116" s="7"/>
      <c r="E116" s="7"/>
      <c r="F116" s="7"/>
      <c r="G116" s="7"/>
      <c r="J116" s="7"/>
      <c r="K116" s="7"/>
      <c r="L116" s="7"/>
      <c r="M116" s="7"/>
    </row>
    <row r="117" spans="2:13">
      <c r="B117" s="7"/>
      <c r="C117" s="7"/>
      <c r="D117" s="7"/>
      <c r="E117" s="7"/>
      <c r="F117" s="7"/>
      <c r="G117" s="7"/>
      <c r="J117" s="7"/>
      <c r="K117" s="7"/>
      <c r="L117" s="7"/>
      <c r="M117" s="7"/>
    </row>
    <row r="118" spans="2:13">
      <c r="B118" s="7"/>
      <c r="C118" s="7"/>
      <c r="D118" s="7"/>
      <c r="E118" s="7"/>
      <c r="F118" s="7"/>
      <c r="G118" s="7"/>
      <c r="J118" s="7"/>
      <c r="K118" s="7"/>
      <c r="L118" s="7"/>
      <c r="M118" s="7"/>
    </row>
    <row r="119" spans="2:13">
      <c r="B119" s="7"/>
      <c r="C119" s="7"/>
      <c r="D119" s="7"/>
      <c r="E119" s="7"/>
      <c r="F119" s="7"/>
      <c r="G119" s="7"/>
      <c r="J119" s="7"/>
      <c r="K119" s="7"/>
      <c r="L119" s="7"/>
      <c r="M119" s="7"/>
    </row>
    <row r="120" spans="2:13">
      <c r="B120" s="7"/>
      <c r="C120" s="7"/>
      <c r="D120" s="7"/>
      <c r="E120" s="7"/>
      <c r="F120" s="7"/>
      <c r="G120" s="7"/>
      <c r="J120" s="7"/>
      <c r="K120" s="7"/>
      <c r="L120" s="7"/>
      <c r="M120" s="7"/>
    </row>
    <row r="121" spans="2:13">
      <c r="B121" s="7"/>
      <c r="C121" s="7"/>
      <c r="D121" s="7"/>
      <c r="E121" s="7"/>
      <c r="F121" s="7"/>
      <c r="G121" s="7"/>
      <c r="J121" s="7"/>
      <c r="K121" s="7"/>
      <c r="L121" s="7"/>
      <c r="M121" s="7"/>
    </row>
    <row r="122" spans="2:13">
      <c r="B122" s="7"/>
      <c r="C122" s="7"/>
      <c r="D122" s="7"/>
      <c r="E122" s="7"/>
      <c r="F122" s="7"/>
      <c r="G122" s="7"/>
      <c r="J122" s="7"/>
      <c r="K122" s="7"/>
      <c r="L122" s="7"/>
      <c r="M122" s="7"/>
    </row>
    <row r="123" spans="2:13">
      <c r="B123" s="7"/>
      <c r="C123" s="7"/>
      <c r="D123" s="7"/>
      <c r="E123" s="7"/>
      <c r="F123" s="7"/>
      <c r="G123" s="7"/>
      <c r="J123" s="7"/>
      <c r="K123" s="7"/>
      <c r="L123" s="7"/>
      <c r="M123" s="7"/>
    </row>
    <row r="124" spans="2:13">
      <c r="B124" s="7"/>
      <c r="C124" s="7"/>
      <c r="D124" s="7"/>
      <c r="E124" s="7"/>
      <c r="F124" s="7"/>
      <c r="G124" s="7"/>
      <c r="J124" s="7"/>
      <c r="K124" s="7"/>
      <c r="L124" s="7"/>
      <c r="M124" s="7"/>
    </row>
    <row r="125" spans="2:13">
      <c r="B125" s="7"/>
      <c r="C125" s="7"/>
      <c r="D125" s="7"/>
      <c r="E125" s="7"/>
      <c r="F125" s="7"/>
      <c r="G125" s="7"/>
      <c r="J125" s="7"/>
      <c r="K125" s="7"/>
      <c r="L125" s="7"/>
      <c r="M125" s="7"/>
    </row>
    <row r="126" spans="2:13">
      <c r="B126" s="7"/>
      <c r="C126" s="7"/>
      <c r="D126" s="7"/>
      <c r="E126" s="7"/>
      <c r="F126" s="7"/>
      <c r="G126" s="7"/>
      <c r="J126" s="7"/>
      <c r="K126" s="7"/>
      <c r="L126" s="7"/>
      <c r="M126" s="7"/>
    </row>
    <row r="127" spans="2:13">
      <c r="B127" s="7"/>
      <c r="C127" s="7"/>
      <c r="D127" s="7"/>
      <c r="E127" s="7"/>
      <c r="F127" s="7"/>
      <c r="G127" s="7"/>
      <c r="J127" s="7"/>
      <c r="K127" s="7"/>
      <c r="L127" s="7"/>
      <c r="M127" s="7"/>
    </row>
    <row r="128" spans="2:13">
      <c r="B128" s="7"/>
      <c r="C128" s="7"/>
      <c r="D128" s="7"/>
      <c r="E128" s="7"/>
      <c r="F128" s="7"/>
      <c r="G128" s="7"/>
      <c r="J128" s="7"/>
      <c r="K128" s="7"/>
      <c r="L128" s="7"/>
      <c r="M128" s="7"/>
    </row>
    <row r="129" spans="2:13">
      <c r="B129" s="7"/>
      <c r="C129" s="7"/>
      <c r="D129" s="7"/>
      <c r="E129" s="7"/>
      <c r="F129" s="7"/>
      <c r="G129" s="7"/>
      <c r="J129" s="7"/>
      <c r="K129" s="7"/>
      <c r="L129" s="7"/>
      <c r="M129" s="7"/>
    </row>
    <row r="130" spans="2:13">
      <c r="B130" s="7"/>
      <c r="C130" s="7"/>
      <c r="D130" s="7"/>
      <c r="E130" s="7"/>
      <c r="F130" s="7"/>
      <c r="G130" s="7"/>
      <c r="J130" s="7"/>
      <c r="K130" s="7"/>
      <c r="L130" s="7"/>
      <c r="M130" s="7"/>
    </row>
    <row r="131" spans="2:13">
      <c r="B131" s="7"/>
      <c r="C131" s="7"/>
      <c r="D131" s="7"/>
      <c r="E131" s="7"/>
      <c r="F131" s="7"/>
      <c r="G131" s="7"/>
      <c r="J131" s="7"/>
      <c r="K131" s="7"/>
      <c r="L131" s="7"/>
      <c r="M131" s="7"/>
    </row>
    <row r="132" spans="2:13">
      <c r="B132" s="7"/>
      <c r="C132" s="7"/>
      <c r="D132" s="7"/>
      <c r="E132" s="7"/>
      <c r="F132" s="7"/>
      <c r="G132" s="7"/>
      <c r="J132" s="7"/>
      <c r="K132" s="7"/>
      <c r="L132" s="7"/>
      <c r="M132" s="7"/>
    </row>
    <row r="133" spans="2:13">
      <c r="B133" s="7"/>
      <c r="C133" s="7"/>
      <c r="D133" s="7"/>
      <c r="E133" s="7"/>
      <c r="F133" s="7"/>
      <c r="G133" s="7"/>
      <c r="J133" s="7"/>
      <c r="K133" s="7"/>
      <c r="L133" s="7"/>
      <c r="M133" s="7"/>
    </row>
    <row r="134" spans="2:13">
      <c r="B134" s="7"/>
      <c r="C134" s="7"/>
      <c r="D134" s="7"/>
      <c r="E134" s="7"/>
      <c r="F134" s="7"/>
      <c r="G134" s="7"/>
      <c r="J134" s="7"/>
      <c r="K134" s="7"/>
      <c r="L134" s="7"/>
      <c r="M134" s="7"/>
    </row>
    <row r="135" spans="2:13">
      <c r="B135" s="7"/>
      <c r="C135" s="7"/>
      <c r="D135" s="7"/>
      <c r="E135" s="7"/>
      <c r="F135" s="7"/>
      <c r="G135" s="7"/>
      <c r="J135" s="7"/>
      <c r="K135" s="7"/>
      <c r="L135" s="7"/>
      <c r="M135" s="7"/>
    </row>
    <row r="136" spans="2:13">
      <c r="B136" s="7"/>
      <c r="C136" s="7"/>
      <c r="D136" s="7"/>
      <c r="E136" s="7"/>
      <c r="F136" s="7"/>
      <c r="G136" s="7"/>
      <c r="J136" s="7"/>
      <c r="K136" s="7"/>
      <c r="L136" s="7"/>
      <c r="M136" s="7"/>
    </row>
    <row r="137" spans="2:13">
      <c r="B137" s="7"/>
      <c r="C137" s="7"/>
      <c r="D137" s="7"/>
      <c r="E137" s="7"/>
      <c r="F137" s="7"/>
      <c r="G137" s="7"/>
      <c r="J137" s="7"/>
      <c r="K137" s="7"/>
      <c r="L137" s="7"/>
      <c r="M137" s="7"/>
    </row>
    <row r="138" spans="2:13">
      <c r="B138" s="7"/>
      <c r="C138" s="7"/>
      <c r="D138" s="7"/>
      <c r="E138" s="7"/>
      <c r="F138" s="7"/>
      <c r="G138" s="7"/>
      <c r="J138" s="7"/>
      <c r="K138" s="7"/>
      <c r="L138" s="7"/>
      <c r="M138" s="7"/>
    </row>
    <row r="139" spans="2:13">
      <c r="B139" s="7"/>
      <c r="C139" s="7"/>
      <c r="D139" s="7"/>
      <c r="E139" s="7"/>
      <c r="F139" s="7"/>
      <c r="G139" s="7"/>
      <c r="J139" s="7"/>
      <c r="K139" s="7"/>
      <c r="L139" s="7"/>
      <c r="M139" s="7"/>
    </row>
    <row r="140" spans="2:13">
      <c r="B140" s="7"/>
      <c r="C140" s="7"/>
      <c r="D140" s="7"/>
      <c r="E140" s="7"/>
      <c r="F140" s="7"/>
      <c r="G140" s="7"/>
      <c r="J140" s="7"/>
      <c r="K140" s="7"/>
      <c r="L140" s="7"/>
      <c r="M140" s="7"/>
    </row>
    <row r="141" spans="2:13">
      <c r="B141" s="7"/>
      <c r="C141" s="7"/>
      <c r="D141" s="7"/>
      <c r="E141" s="7"/>
      <c r="F141" s="7"/>
      <c r="G141" s="7"/>
      <c r="J141" s="7"/>
      <c r="K141" s="7"/>
      <c r="L141" s="7"/>
      <c r="M141" s="7"/>
    </row>
    <row r="142" spans="2:13">
      <c r="B142" s="7"/>
      <c r="C142" s="7"/>
      <c r="D142" s="7"/>
      <c r="E142" s="7"/>
      <c r="F142" s="7"/>
      <c r="G142" s="7"/>
      <c r="J142" s="7"/>
      <c r="K142" s="7"/>
      <c r="L142" s="7"/>
      <c r="M142" s="7"/>
    </row>
    <row r="143" spans="2:13">
      <c r="B143" s="7"/>
      <c r="C143" s="7"/>
      <c r="D143" s="7"/>
      <c r="E143" s="7"/>
      <c r="F143" s="7"/>
      <c r="G143" s="7"/>
      <c r="J143" s="7"/>
      <c r="K143" s="7"/>
      <c r="L143" s="7"/>
      <c r="M143" s="7"/>
    </row>
    <row r="144" spans="2:13">
      <c r="B144" s="7"/>
      <c r="C144" s="7"/>
      <c r="D144" s="7"/>
      <c r="E144" s="7"/>
      <c r="F144" s="7"/>
      <c r="G144" s="7"/>
      <c r="J144" s="7"/>
      <c r="K144" s="7"/>
      <c r="L144" s="7"/>
      <c r="M144" s="7"/>
    </row>
    <row r="145" spans="2:13">
      <c r="B145" s="7"/>
      <c r="C145" s="7"/>
      <c r="D145" s="7"/>
      <c r="E145" s="7"/>
      <c r="F145" s="7"/>
      <c r="G145" s="7"/>
      <c r="J145" s="7"/>
      <c r="K145" s="7"/>
      <c r="L145" s="7"/>
      <c r="M145" s="7"/>
    </row>
    <row r="146" spans="2:13">
      <c r="B146" s="7"/>
      <c r="C146" s="7"/>
      <c r="D146" s="7"/>
      <c r="E146" s="7"/>
      <c r="F146" s="7"/>
      <c r="G146" s="7"/>
      <c r="J146" s="7"/>
      <c r="K146" s="7"/>
      <c r="L146" s="7"/>
      <c r="M146" s="7"/>
    </row>
    <row r="147" spans="2:13">
      <c r="B147" s="7"/>
      <c r="C147" s="7"/>
      <c r="D147" s="7"/>
      <c r="E147" s="7"/>
      <c r="F147" s="7"/>
      <c r="G147" s="7"/>
      <c r="J147" s="7"/>
      <c r="K147" s="7"/>
      <c r="L147" s="7"/>
      <c r="M147" s="7"/>
    </row>
    <row r="148" spans="2:13">
      <c r="B148" s="7"/>
      <c r="C148" s="7"/>
      <c r="D148" s="7"/>
      <c r="E148" s="7"/>
      <c r="F148" s="7"/>
      <c r="G148" s="7"/>
      <c r="J148" s="7"/>
      <c r="K148" s="7"/>
      <c r="L148" s="7"/>
      <c r="M148" s="7"/>
    </row>
    <row r="149" spans="2:13">
      <c r="B149" s="7"/>
      <c r="C149" s="7"/>
      <c r="D149" s="7"/>
      <c r="E149" s="7"/>
      <c r="F149" s="7"/>
      <c r="G149" s="7"/>
      <c r="J149" s="7"/>
      <c r="K149" s="7"/>
      <c r="L149" s="7"/>
      <c r="M149" s="7"/>
    </row>
    <row r="150" spans="2:13">
      <c r="B150" s="7"/>
      <c r="C150" s="7"/>
      <c r="D150" s="7"/>
      <c r="E150" s="7"/>
      <c r="F150" s="7"/>
      <c r="G150" s="7"/>
      <c r="J150" s="7"/>
      <c r="K150" s="7"/>
      <c r="L150" s="7"/>
      <c r="M150" s="7"/>
    </row>
    <row r="151" spans="2:13">
      <c r="B151" s="7"/>
      <c r="C151" s="7"/>
      <c r="D151" s="7"/>
      <c r="E151" s="7"/>
      <c r="F151" s="7"/>
      <c r="G151" s="7"/>
      <c r="J151" s="7"/>
      <c r="K151" s="7"/>
      <c r="L151" s="7"/>
      <c r="M151" s="7"/>
    </row>
    <row r="152" spans="2:13">
      <c r="B152" s="7"/>
      <c r="C152" s="7"/>
      <c r="D152" s="7"/>
      <c r="E152" s="7"/>
      <c r="F152" s="7"/>
      <c r="G152" s="7"/>
      <c r="J152" s="7"/>
      <c r="K152" s="7"/>
      <c r="L152" s="7"/>
      <c r="M152" s="7"/>
    </row>
    <row r="153" spans="2:13">
      <c r="B153" s="7"/>
      <c r="C153" s="7"/>
      <c r="D153" s="7"/>
      <c r="E153" s="7"/>
      <c r="F153" s="7"/>
      <c r="G153" s="7"/>
      <c r="J153" s="7"/>
      <c r="K153" s="7"/>
      <c r="L153" s="7"/>
      <c r="M153" s="7"/>
    </row>
    <row r="154" spans="2:13">
      <c r="B154" s="7"/>
      <c r="C154" s="7"/>
      <c r="D154" s="7"/>
      <c r="E154" s="7"/>
      <c r="F154" s="7"/>
      <c r="G154" s="7"/>
      <c r="J154" s="7"/>
      <c r="K154" s="7"/>
      <c r="L154" s="7"/>
      <c r="M154" s="7"/>
    </row>
    <row r="155" spans="2:13">
      <c r="B155" s="7"/>
      <c r="C155" s="7"/>
      <c r="D155" s="7"/>
      <c r="E155" s="7"/>
      <c r="F155" s="7"/>
      <c r="G155" s="7"/>
      <c r="J155" s="7"/>
      <c r="K155" s="7"/>
      <c r="L155" s="7"/>
      <c r="M155" s="7"/>
    </row>
    <row r="156" spans="2:13">
      <c r="B156" s="7"/>
      <c r="C156" s="7"/>
      <c r="D156" s="7"/>
      <c r="E156" s="7"/>
      <c r="F156" s="7"/>
      <c r="G156" s="7"/>
      <c r="J156" s="7"/>
      <c r="K156" s="7"/>
      <c r="L156" s="7"/>
      <c r="M156" s="7"/>
    </row>
    <row r="157" spans="2:13">
      <c r="B157" s="7"/>
      <c r="C157" s="7"/>
      <c r="D157" s="7"/>
      <c r="E157" s="7"/>
      <c r="F157" s="7"/>
      <c r="G157" s="7"/>
      <c r="J157" s="7"/>
      <c r="K157" s="7"/>
      <c r="L157" s="7"/>
      <c r="M157" s="7"/>
    </row>
    <row r="158" spans="2:13">
      <c r="B158" s="7"/>
      <c r="C158" s="7"/>
      <c r="D158" s="7"/>
      <c r="E158" s="7"/>
      <c r="F158" s="7"/>
      <c r="G158" s="7"/>
      <c r="J158" s="7"/>
      <c r="K158" s="7"/>
      <c r="L158" s="7"/>
      <c r="M158" s="7"/>
    </row>
    <row r="159" spans="2:13">
      <c r="B159" s="7"/>
      <c r="C159" s="7"/>
      <c r="D159" s="7"/>
      <c r="E159" s="7"/>
      <c r="F159" s="7"/>
      <c r="G159" s="7"/>
      <c r="J159" s="7"/>
      <c r="K159" s="7"/>
      <c r="L159" s="7"/>
      <c r="M159" s="7"/>
    </row>
    <row r="160" spans="2:13">
      <c r="B160" s="7"/>
      <c r="C160" s="7"/>
      <c r="D160" s="7"/>
      <c r="E160" s="7"/>
      <c r="F160" s="7"/>
      <c r="G160" s="7"/>
      <c r="J160" s="7"/>
      <c r="K160" s="7"/>
      <c r="L160" s="7"/>
      <c r="M160" s="7"/>
    </row>
    <row r="161" spans="2:13">
      <c r="B161" s="7"/>
      <c r="C161" s="7"/>
      <c r="D161" s="7"/>
      <c r="E161" s="7"/>
      <c r="F161" s="7"/>
      <c r="G161" s="7"/>
      <c r="J161" s="7"/>
      <c r="K161" s="7"/>
      <c r="L161" s="7"/>
      <c r="M161" s="7"/>
    </row>
    <row r="162" spans="2:13">
      <c r="B162" s="7"/>
      <c r="C162" s="7"/>
      <c r="D162" s="7"/>
      <c r="E162" s="7"/>
      <c r="F162" s="7"/>
      <c r="G162" s="7"/>
      <c r="J162" s="7"/>
      <c r="K162" s="7"/>
      <c r="L162" s="7"/>
      <c r="M162" s="7"/>
    </row>
    <row r="163" spans="2:13">
      <c r="B163" s="7"/>
      <c r="C163" s="7"/>
      <c r="D163" s="7"/>
      <c r="E163" s="7"/>
      <c r="F163" s="7"/>
      <c r="G163" s="7"/>
      <c r="J163" s="7"/>
      <c r="K163" s="7"/>
      <c r="L163" s="7"/>
      <c r="M163" s="7"/>
    </row>
    <row r="164" spans="2:13">
      <c r="B164" s="7"/>
      <c r="C164" s="7"/>
      <c r="D164" s="7"/>
      <c r="E164" s="7"/>
      <c r="F164" s="7"/>
      <c r="G164" s="7"/>
      <c r="J164" s="7"/>
      <c r="K164" s="7"/>
      <c r="L164" s="7"/>
      <c r="M164" s="7"/>
    </row>
    <row r="165" spans="2:13">
      <c r="B165" s="7"/>
      <c r="C165" s="7"/>
      <c r="D165" s="7"/>
      <c r="E165" s="7"/>
      <c r="F165" s="7"/>
      <c r="G165" s="7"/>
      <c r="J165" s="7"/>
      <c r="K165" s="7"/>
      <c r="L165" s="7"/>
      <c r="M165" s="7"/>
    </row>
    <row r="166" spans="2:13">
      <c r="B166" s="7"/>
      <c r="C166" s="7"/>
      <c r="D166" s="7"/>
      <c r="E166" s="7"/>
      <c r="F166" s="7"/>
      <c r="G166" s="7"/>
      <c r="J166" s="7"/>
      <c r="K166" s="7"/>
      <c r="L166" s="7"/>
      <c r="M166" s="7"/>
    </row>
    <row r="167" spans="2:13">
      <c r="B167" s="7"/>
      <c r="C167" s="7"/>
      <c r="D167" s="7"/>
      <c r="E167" s="7"/>
      <c r="F167" s="7"/>
      <c r="G167" s="7"/>
      <c r="J167" s="7"/>
      <c r="K167" s="7"/>
      <c r="L167" s="7"/>
      <c r="M167" s="7"/>
    </row>
    <row r="168" spans="2:13">
      <c r="B168" s="7"/>
      <c r="C168" s="7"/>
      <c r="D168" s="7"/>
      <c r="E168" s="7"/>
      <c r="F168" s="7"/>
      <c r="G168" s="7"/>
      <c r="J168" s="7"/>
      <c r="K168" s="7"/>
      <c r="L168" s="7"/>
      <c r="M168" s="7"/>
    </row>
    <row r="169" spans="2:13">
      <c r="B169" s="7"/>
      <c r="C169" s="7"/>
      <c r="D169" s="7"/>
      <c r="E169" s="7"/>
      <c r="F169" s="7"/>
      <c r="G169" s="7"/>
      <c r="J169" s="7"/>
      <c r="K169" s="7"/>
      <c r="L169" s="7"/>
      <c r="M169" s="7"/>
    </row>
    <row r="170" spans="2:13">
      <c r="B170" s="7"/>
      <c r="C170" s="7"/>
      <c r="D170" s="7"/>
      <c r="E170" s="7"/>
      <c r="F170" s="7"/>
      <c r="G170" s="7"/>
      <c r="J170" s="7"/>
      <c r="K170" s="7"/>
      <c r="L170" s="7"/>
      <c r="M170" s="7"/>
    </row>
    <row r="171" spans="2:13">
      <c r="B171" s="7"/>
      <c r="C171" s="7"/>
      <c r="D171" s="7"/>
      <c r="E171" s="7"/>
      <c r="F171" s="7"/>
      <c r="G171" s="7"/>
      <c r="J171" s="7"/>
      <c r="K171" s="7"/>
      <c r="L171" s="7"/>
      <c r="M171" s="7"/>
    </row>
    <row r="172" spans="2:13">
      <c r="B172" s="7"/>
      <c r="C172" s="7"/>
      <c r="D172" s="7"/>
      <c r="E172" s="7"/>
      <c r="F172" s="7"/>
      <c r="G172" s="7"/>
      <c r="J172" s="7"/>
      <c r="K172" s="7"/>
      <c r="L172" s="7"/>
      <c r="M172" s="7"/>
    </row>
    <row r="173" spans="2:13">
      <c r="B173" s="7"/>
      <c r="C173" s="7"/>
      <c r="D173" s="7"/>
      <c r="E173" s="7"/>
      <c r="F173" s="7"/>
      <c r="G173" s="7"/>
      <c r="J173" s="7"/>
      <c r="K173" s="7"/>
      <c r="L173" s="7"/>
      <c r="M173" s="7"/>
    </row>
    <row r="174" spans="2:13">
      <c r="B174" s="7"/>
      <c r="C174" s="7"/>
      <c r="D174" s="7"/>
      <c r="E174" s="7"/>
      <c r="F174" s="7"/>
      <c r="G174" s="7"/>
      <c r="J174" s="7"/>
      <c r="K174" s="7"/>
      <c r="L174" s="7" t="str">
        <f t="shared" ref="L174:L196" si="3">IFERROR(PPMT($B$6/12,A174,$B$2,$B$1),"")</f>
        <v/>
      </c>
      <c r="M174" s="7" t="str">
        <f t="shared" ref="M174:M196" si="4">IFERROR(K174+L174,"")</f>
        <v/>
      </c>
    </row>
    <row r="175" spans="2:13">
      <c r="B175" s="7"/>
      <c r="C175" s="7"/>
      <c r="D175" s="7"/>
      <c r="E175" s="7"/>
      <c r="F175" s="7"/>
      <c r="G175" s="7"/>
      <c r="J175" s="7"/>
      <c r="K175" s="7"/>
      <c r="L175" s="7" t="str">
        <f t="shared" si="3"/>
        <v/>
      </c>
      <c r="M175" s="7" t="str">
        <f t="shared" si="4"/>
        <v/>
      </c>
    </row>
    <row r="176" spans="2:13">
      <c r="B176" s="7"/>
      <c r="C176" s="7"/>
      <c r="D176" s="7"/>
      <c r="E176" s="7"/>
      <c r="F176" s="7"/>
      <c r="G176" s="7"/>
      <c r="J176" s="7"/>
      <c r="K176" s="7"/>
      <c r="L176" s="7" t="str">
        <f t="shared" si="3"/>
        <v/>
      </c>
      <c r="M176" s="7" t="str">
        <f t="shared" si="4"/>
        <v/>
      </c>
    </row>
    <row r="177" spans="2:13">
      <c r="B177" s="7"/>
      <c r="C177" s="7"/>
      <c r="D177" s="7"/>
      <c r="E177" s="7"/>
      <c r="F177" s="7"/>
      <c r="G177" s="7"/>
      <c r="J177" s="7"/>
      <c r="K177" s="7"/>
      <c r="L177" s="7" t="str">
        <f t="shared" si="3"/>
        <v/>
      </c>
      <c r="M177" s="7" t="str">
        <f t="shared" si="4"/>
        <v/>
      </c>
    </row>
    <row r="178" spans="2:13">
      <c r="B178" s="7"/>
      <c r="C178" s="7"/>
      <c r="D178" s="7"/>
      <c r="E178" s="7"/>
      <c r="F178" s="7"/>
      <c r="G178" s="7"/>
      <c r="J178" s="7"/>
      <c r="K178" s="7"/>
      <c r="L178" s="7" t="str">
        <f t="shared" si="3"/>
        <v/>
      </c>
      <c r="M178" s="7" t="str">
        <f t="shared" si="4"/>
        <v/>
      </c>
    </row>
    <row r="179" spans="2:13">
      <c r="B179" s="7"/>
      <c r="C179" s="7"/>
      <c r="D179" s="7"/>
      <c r="E179" s="7"/>
      <c r="F179" s="7"/>
      <c r="G179" s="7"/>
      <c r="J179" s="7"/>
      <c r="K179" s="7"/>
      <c r="L179" s="7" t="str">
        <f t="shared" si="3"/>
        <v/>
      </c>
      <c r="M179" s="7" t="str">
        <f t="shared" si="4"/>
        <v/>
      </c>
    </row>
    <row r="180" spans="2:13">
      <c r="B180" s="7"/>
      <c r="C180" s="7"/>
      <c r="D180" s="7"/>
      <c r="E180" s="7"/>
      <c r="F180" s="7"/>
      <c r="G180" s="7"/>
      <c r="J180" s="7"/>
      <c r="K180" s="7"/>
      <c r="L180" s="7" t="str">
        <f t="shared" si="3"/>
        <v/>
      </c>
      <c r="M180" s="7" t="str">
        <f t="shared" si="4"/>
        <v/>
      </c>
    </row>
    <row r="181" spans="2:13">
      <c r="B181" s="7"/>
      <c r="C181" s="7"/>
      <c r="D181" s="7"/>
      <c r="E181" s="7"/>
      <c r="F181" s="7"/>
      <c r="G181" s="7"/>
      <c r="J181" s="7"/>
      <c r="K181" s="7"/>
      <c r="L181" s="7" t="str">
        <f t="shared" si="3"/>
        <v/>
      </c>
      <c r="M181" s="7" t="str">
        <f t="shared" si="4"/>
        <v/>
      </c>
    </row>
    <row r="182" spans="2:13">
      <c r="B182" s="7"/>
      <c r="C182" s="7"/>
      <c r="D182" s="7"/>
      <c r="E182" s="7"/>
      <c r="F182" s="7"/>
      <c r="G182" s="7"/>
      <c r="J182" s="7"/>
      <c r="K182" s="7"/>
      <c r="L182" s="7" t="str">
        <f t="shared" si="3"/>
        <v/>
      </c>
      <c r="M182" s="7" t="str">
        <f t="shared" si="4"/>
        <v/>
      </c>
    </row>
    <row r="183" spans="2:13">
      <c r="B183" s="7"/>
      <c r="C183" s="7"/>
      <c r="D183" s="7"/>
      <c r="E183" s="7"/>
      <c r="F183" s="7"/>
      <c r="G183" s="7"/>
      <c r="J183" s="7"/>
      <c r="K183" s="7"/>
      <c r="L183" s="7" t="str">
        <f t="shared" si="3"/>
        <v/>
      </c>
      <c r="M183" s="7" t="str">
        <f t="shared" si="4"/>
        <v/>
      </c>
    </row>
    <row r="184" spans="2:13">
      <c r="B184" s="7"/>
      <c r="C184" s="7"/>
      <c r="D184" s="7"/>
      <c r="E184" s="7"/>
      <c r="F184" s="7"/>
      <c r="G184" s="7"/>
      <c r="J184" s="7"/>
      <c r="K184" s="7"/>
      <c r="L184" s="7" t="str">
        <f t="shared" si="3"/>
        <v/>
      </c>
      <c r="M184" s="7" t="str">
        <f t="shared" si="4"/>
        <v/>
      </c>
    </row>
    <row r="185" spans="2:13">
      <c r="B185" s="7"/>
      <c r="C185" s="7"/>
      <c r="D185" s="7"/>
      <c r="E185" s="7"/>
      <c r="F185" s="7"/>
      <c r="G185" s="7"/>
      <c r="J185" s="7"/>
      <c r="K185" s="7"/>
      <c r="L185" s="7" t="str">
        <f t="shared" si="3"/>
        <v/>
      </c>
      <c r="M185" s="7" t="str">
        <f t="shared" si="4"/>
        <v/>
      </c>
    </row>
    <row r="186" spans="2:13">
      <c r="B186" s="7"/>
      <c r="C186" s="7"/>
      <c r="D186" s="7"/>
      <c r="E186" s="7"/>
      <c r="F186" s="7"/>
      <c r="G186" s="7"/>
      <c r="J186" s="7"/>
      <c r="K186" s="7"/>
      <c r="L186" s="7" t="str">
        <f t="shared" si="3"/>
        <v/>
      </c>
      <c r="M186" s="7" t="str">
        <f t="shared" si="4"/>
        <v/>
      </c>
    </row>
    <row r="187" spans="2:13">
      <c r="B187" s="7"/>
      <c r="C187" s="7"/>
      <c r="D187" s="7"/>
      <c r="E187" s="7"/>
      <c r="F187" s="7"/>
      <c r="G187" s="7"/>
      <c r="J187" s="7"/>
      <c r="K187" s="7"/>
      <c r="L187" s="7" t="str">
        <f t="shared" si="3"/>
        <v/>
      </c>
      <c r="M187" s="7" t="str">
        <f t="shared" si="4"/>
        <v/>
      </c>
    </row>
    <row r="188" spans="2:13">
      <c r="B188" s="7"/>
      <c r="C188" s="7"/>
      <c r="D188" s="7"/>
      <c r="E188" s="7"/>
      <c r="F188" s="7"/>
      <c r="G188" s="7"/>
      <c r="J188" s="7"/>
      <c r="K188" s="7"/>
      <c r="L188" s="7" t="str">
        <f t="shared" si="3"/>
        <v/>
      </c>
      <c r="M188" s="7" t="str">
        <f t="shared" si="4"/>
        <v/>
      </c>
    </row>
    <row r="189" spans="2:13">
      <c r="B189" s="7"/>
      <c r="C189" s="7"/>
      <c r="D189" s="7"/>
      <c r="E189" s="7"/>
      <c r="F189" s="7"/>
      <c r="G189" s="7"/>
      <c r="J189" s="7"/>
      <c r="K189" s="7"/>
      <c r="L189" s="7" t="str">
        <f t="shared" si="3"/>
        <v/>
      </c>
      <c r="M189" s="7" t="str">
        <f t="shared" si="4"/>
        <v/>
      </c>
    </row>
    <row r="190" spans="2:13">
      <c r="B190" s="7"/>
      <c r="C190" s="7"/>
      <c r="D190" s="7"/>
      <c r="E190" s="7"/>
      <c r="F190" s="7"/>
      <c r="G190" s="7"/>
      <c r="J190" s="7"/>
      <c r="K190" s="7"/>
      <c r="L190" s="7" t="str">
        <f t="shared" si="3"/>
        <v/>
      </c>
      <c r="M190" s="7" t="str">
        <f t="shared" si="4"/>
        <v/>
      </c>
    </row>
    <row r="191" spans="2:13">
      <c r="B191" s="7"/>
      <c r="C191" s="7"/>
      <c r="D191" s="7"/>
      <c r="E191" s="7"/>
      <c r="F191" s="7"/>
      <c r="G191" s="7"/>
      <c r="J191" s="7"/>
      <c r="K191" s="7"/>
      <c r="L191" s="7" t="str">
        <f t="shared" si="3"/>
        <v/>
      </c>
      <c r="M191" s="7" t="str">
        <f t="shared" si="4"/>
        <v/>
      </c>
    </row>
    <row r="192" spans="2:13">
      <c r="B192" s="7"/>
      <c r="C192" s="7"/>
      <c r="D192" s="7"/>
      <c r="E192" s="7"/>
      <c r="F192" s="7"/>
      <c r="G192" s="7"/>
      <c r="J192" s="7"/>
      <c r="K192" s="7"/>
      <c r="L192" s="7" t="str">
        <f t="shared" si="3"/>
        <v/>
      </c>
      <c r="M192" s="7" t="str">
        <f t="shared" si="4"/>
        <v/>
      </c>
    </row>
    <row r="193" spans="2:13">
      <c r="B193" s="7"/>
      <c r="C193" s="7"/>
      <c r="D193" s="7"/>
      <c r="E193" s="7"/>
      <c r="F193" s="7"/>
      <c r="G193" s="7"/>
      <c r="J193" s="7"/>
      <c r="K193" s="7"/>
      <c r="L193" s="7" t="str">
        <f t="shared" si="3"/>
        <v/>
      </c>
      <c r="M193" s="7" t="str">
        <f t="shared" si="4"/>
        <v/>
      </c>
    </row>
    <row r="194" spans="2:13">
      <c r="B194" s="7"/>
      <c r="C194" s="7"/>
      <c r="D194" s="7"/>
      <c r="E194" s="7"/>
      <c r="F194" s="7"/>
      <c r="G194" s="7"/>
      <c r="J194" s="7"/>
      <c r="K194" s="7"/>
      <c r="L194" s="7" t="str">
        <f t="shared" si="3"/>
        <v/>
      </c>
      <c r="M194" s="7" t="str">
        <f t="shared" si="4"/>
        <v/>
      </c>
    </row>
    <row r="195" spans="2:13">
      <c r="B195" s="7"/>
      <c r="C195" s="7"/>
      <c r="D195" s="7"/>
      <c r="E195" s="7"/>
      <c r="F195" s="7"/>
      <c r="G195" s="7"/>
      <c r="J195" s="7"/>
      <c r="K195" s="7"/>
      <c r="L195" s="7" t="str">
        <f t="shared" si="3"/>
        <v/>
      </c>
      <c r="M195" s="7" t="str">
        <f t="shared" si="4"/>
        <v/>
      </c>
    </row>
    <row r="196" spans="2:13">
      <c r="B196" s="7"/>
      <c r="C196" s="7"/>
      <c r="D196" s="7"/>
      <c r="E196" s="7"/>
      <c r="F196" s="7"/>
      <c r="G196" s="7"/>
      <c r="J196" s="7"/>
      <c r="K196" s="7"/>
      <c r="L196" s="7" t="str">
        <f t="shared" si="3"/>
        <v/>
      </c>
      <c r="M196" s="7" t="str">
        <f t="shared" si="4"/>
        <v/>
      </c>
    </row>
    <row r="197" spans="2:13">
      <c r="B197" s="7"/>
      <c r="C197" s="7"/>
      <c r="D197" s="7"/>
      <c r="E197" s="7"/>
      <c r="F197" s="7"/>
      <c r="G197" s="7"/>
      <c r="J197" s="7"/>
      <c r="K197" s="7"/>
      <c r="L197" s="7"/>
      <c r="M197" s="7"/>
    </row>
    <row r="198" spans="2:13">
      <c r="B198" s="7"/>
      <c r="C198" s="7"/>
      <c r="D198" s="7"/>
      <c r="E198" s="7"/>
      <c r="F198" s="7"/>
      <c r="G198" s="7"/>
      <c r="J198" s="7"/>
      <c r="K198" s="7"/>
      <c r="L198" s="7"/>
      <c r="M198" s="7"/>
    </row>
    <row r="199" spans="2:13">
      <c r="B199" s="7"/>
      <c r="C199" s="7"/>
      <c r="D199" s="7"/>
      <c r="E199" s="7"/>
      <c r="F199" s="7"/>
      <c r="G199" s="7"/>
      <c r="J199" s="7"/>
      <c r="K199" s="7"/>
      <c r="L199" s="7"/>
      <c r="M199" s="7"/>
    </row>
    <row r="200" spans="2:13">
      <c r="B200" s="7"/>
      <c r="C200" s="7"/>
      <c r="D200" s="7"/>
      <c r="E200" s="7"/>
      <c r="F200" s="7"/>
      <c r="G200" s="7"/>
      <c r="J200" s="7"/>
      <c r="K200" s="7"/>
      <c r="L200" s="7"/>
      <c r="M200" s="7"/>
    </row>
    <row r="201" spans="2:13">
      <c r="B201" s="7"/>
      <c r="C201" s="7"/>
      <c r="D201" s="7"/>
      <c r="E201" s="7"/>
      <c r="F201" s="7"/>
      <c r="G201" s="7"/>
      <c r="J201" s="7"/>
      <c r="K201" s="7"/>
      <c r="L201" s="7"/>
      <c r="M201" s="7"/>
    </row>
    <row r="202" spans="2:13">
      <c r="B202" s="7"/>
      <c r="C202" s="7"/>
      <c r="D202" s="7"/>
      <c r="E202" s="7"/>
      <c r="F202" s="7"/>
      <c r="G202" s="7"/>
      <c r="J202" s="7"/>
      <c r="K202" s="7"/>
      <c r="L202" s="7"/>
      <c r="M202" s="7"/>
    </row>
    <row r="203" spans="2:13">
      <c r="B203" s="7"/>
      <c r="C203" s="7"/>
      <c r="D203" s="7"/>
      <c r="E203" s="7"/>
      <c r="F203" s="7"/>
      <c r="G203" s="7"/>
      <c r="J203" s="7"/>
      <c r="K203" s="7"/>
      <c r="L203" s="7"/>
      <c r="M203" s="7"/>
    </row>
    <row r="204" spans="2:13">
      <c r="B204" s="7"/>
      <c r="C204" s="7"/>
      <c r="D204" s="7"/>
      <c r="E204" s="7"/>
      <c r="F204" s="7"/>
      <c r="G204" s="7"/>
      <c r="J204" s="7"/>
      <c r="K204" s="7"/>
      <c r="L204" s="7"/>
      <c r="M204" s="7"/>
    </row>
    <row r="205" spans="2:13">
      <c r="B205" s="7"/>
      <c r="C205" s="7"/>
      <c r="D205" s="7"/>
      <c r="E205" s="7"/>
      <c r="F205" s="7"/>
      <c r="G205" s="7"/>
      <c r="J205" s="7"/>
      <c r="K205" s="7"/>
      <c r="L205" s="7"/>
      <c r="M205" s="7"/>
    </row>
    <row r="206" spans="2:13">
      <c r="B206" s="7"/>
      <c r="C206" s="7"/>
      <c r="D206" s="7"/>
      <c r="E206" s="7"/>
      <c r="F206" s="7"/>
      <c r="G206" s="7"/>
      <c r="J206" s="7"/>
      <c r="K206" s="7"/>
      <c r="L206" s="7"/>
      <c r="M206" s="7"/>
    </row>
    <row r="207" spans="2:13">
      <c r="B207" s="7"/>
      <c r="C207" s="7"/>
      <c r="D207" s="7"/>
      <c r="E207" s="7"/>
      <c r="F207" s="7"/>
      <c r="G207" s="7"/>
      <c r="J207" s="7"/>
      <c r="K207" s="7"/>
      <c r="L207" s="7"/>
      <c r="M207" s="7"/>
    </row>
    <row r="208" spans="2:13">
      <c r="B208" s="7"/>
      <c r="C208" s="7"/>
      <c r="D208" s="7"/>
      <c r="E208" s="7"/>
      <c r="F208" s="7"/>
      <c r="G208" s="7"/>
      <c r="J208" s="7"/>
      <c r="K208" s="7"/>
      <c r="L208" s="7"/>
      <c r="M208" s="7"/>
    </row>
    <row r="209" spans="2:13">
      <c r="B209" s="7"/>
      <c r="C209" s="7"/>
      <c r="D209" s="7"/>
      <c r="E209" s="7"/>
      <c r="F209" s="7"/>
      <c r="G209" s="7"/>
      <c r="J209" s="7"/>
      <c r="K209" s="7"/>
      <c r="L209" s="7"/>
      <c r="M209" s="7"/>
    </row>
    <row r="210" spans="2:13">
      <c r="B210" s="7"/>
      <c r="C210" s="7"/>
      <c r="D210" s="7"/>
      <c r="E210" s="7"/>
      <c r="F210" s="7"/>
      <c r="G210" s="7"/>
      <c r="J210" s="7"/>
      <c r="K210" s="7"/>
      <c r="L210" s="7"/>
      <c r="M210" s="7"/>
    </row>
    <row r="211" spans="2:13">
      <c r="B211" s="7"/>
      <c r="C211" s="7"/>
      <c r="D211" s="7"/>
      <c r="E211" s="7"/>
      <c r="F211" s="7"/>
      <c r="G211" s="7"/>
      <c r="J211" s="7"/>
      <c r="K211" s="7"/>
      <c r="L211" s="7"/>
      <c r="M211" s="7"/>
    </row>
    <row r="212" spans="2:13">
      <c r="B212" s="7"/>
      <c r="C212" s="7"/>
      <c r="D212" s="7"/>
      <c r="E212" s="7"/>
      <c r="F212" s="7"/>
      <c r="G212" s="7"/>
      <c r="J212" s="7"/>
      <c r="K212" s="7"/>
      <c r="L212" s="7"/>
      <c r="M212" s="7"/>
    </row>
    <row r="213" spans="2:13">
      <c r="B213" s="7"/>
      <c r="C213" s="7"/>
      <c r="D213" s="7"/>
      <c r="E213" s="7"/>
      <c r="F213" s="7"/>
      <c r="G213" s="7"/>
      <c r="J213" s="7"/>
      <c r="K213" s="7"/>
      <c r="L213" s="7"/>
      <c r="M213" s="7"/>
    </row>
    <row r="214" spans="2:13">
      <c r="B214" s="7"/>
      <c r="C214" s="7"/>
      <c r="D214" s="7"/>
      <c r="E214" s="7"/>
      <c r="F214" s="7"/>
      <c r="G214" s="7"/>
      <c r="J214" s="7"/>
      <c r="K214" s="7"/>
      <c r="L214" s="7"/>
      <c r="M214" s="7"/>
    </row>
    <row r="215" spans="2:13">
      <c r="B215" s="7"/>
      <c r="C215" s="7"/>
      <c r="D215" s="7"/>
      <c r="E215" s="7"/>
      <c r="F215" s="7"/>
      <c r="G215" s="7"/>
      <c r="J215" s="7"/>
      <c r="K215" s="7"/>
      <c r="L215" s="7"/>
      <c r="M215" s="7"/>
    </row>
    <row r="216" spans="2:13">
      <c r="B216" s="7"/>
      <c r="C216" s="7"/>
      <c r="D216" s="7"/>
      <c r="E216" s="7"/>
      <c r="F216" s="7"/>
      <c r="G216" s="7"/>
      <c r="J216" s="7"/>
      <c r="K216" s="7"/>
      <c r="L216" s="7"/>
      <c r="M216" s="7"/>
    </row>
    <row r="217" spans="2:13">
      <c r="B217" s="7"/>
      <c r="C217" s="7"/>
      <c r="D217" s="7"/>
      <c r="E217" s="7"/>
      <c r="F217" s="7"/>
      <c r="G217" s="7"/>
      <c r="J217" s="7"/>
      <c r="K217" s="7"/>
      <c r="L217" s="7"/>
      <c r="M217" s="7"/>
    </row>
    <row r="218" spans="2:13">
      <c r="B218" s="7"/>
      <c r="C218" s="7"/>
      <c r="D218" s="7"/>
      <c r="E218" s="7"/>
      <c r="F218" s="7"/>
      <c r="G218" s="7"/>
      <c r="J218" s="7"/>
      <c r="K218" s="7"/>
      <c r="L218" s="7"/>
      <c r="M218" s="7"/>
    </row>
    <row r="219" spans="2:13">
      <c r="B219" s="7"/>
      <c r="C219" s="7"/>
      <c r="D219" s="7"/>
      <c r="E219" s="7"/>
      <c r="F219" s="7"/>
      <c r="G219" s="7"/>
      <c r="J219" s="7"/>
      <c r="K219" s="7"/>
      <c r="L219" s="7"/>
      <c r="M219" s="7"/>
    </row>
    <row r="220" spans="2:13">
      <c r="B220" s="7"/>
      <c r="C220" s="7"/>
      <c r="D220" s="7"/>
      <c r="E220" s="7"/>
      <c r="F220" s="7"/>
      <c r="G220" s="7"/>
      <c r="J220" s="7"/>
      <c r="K220" s="7"/>
      <c r="L220" s="7"/>
      <c r="M220" s="7"/>
    </row>
    <row r="221" spans="2:13">
      <c r="B221" s="7"/>
      <c r="C221" s="7"/>
      <c r="D221" s="7"/>
      <c r="E221" s="7"/>
      <c r="F221" s="7"/>
      <c r="G221" s="7"/>
      <c r="J221" s="7"/>
      <c r="K221" s="7"/>
      <c r="L221" s="7"/>
      <c r="M221" s="7"/>
    </row>
    <row r="222" spans="2:13">
      <c r="B222" s="7"/>
      <c r="C222" s="7"/>
      <c r="D222" s="7"/>
      <c r="E222" s="7"/>
      <c r="F222" s="7"/>
      <c r="G222" s="7"/>
      <c r="J222" s="7"/>
      <c r="K222" s="7"/>
      <c r="L222" s="7"/>
      <c r="M222" s="7"/>
    </row>
    <row r="223" spans="2:13">
      <c r="B223" s="7"/>
      <c r="C223" s="7"/>
      <c r="D223" s="7"/>
      <c r="E223" s="7"/>
      <c r="F223" s="7"/>
      <c r="G223" s="7"/>
      <c r="J223" s="7"/>
      <c r="K223" s="7"/>
      <c r="L223" s="7"/>
      <c r="M223" s="7"/>
    </row>
    <row r="224" spans="2:13">
      <c r="B224" s="7"/>
      <c r="C224" s="7"/>
      <c r="D224" s="7"/>
      <c r="E224" s="7"/>
      <c r="F224" s="7"/>
      <c r="G224" s="7"/>
      <c r="J224" s="7"/>
      <c r="K224" s="7"/>
      <c r="L224" s="7"/>
      <c r="M224" s="7"/>
    </row>
    <row r="225" spans="2:13">
      <c r="B225" s="7"/>
      <c r="C225" s="7"/>
      <c r="D225" s="7"/>
      <c r="E225" s="7"/>
      <c r="F225" s="7"/>
      <c r="G225" s="7"/>
      <c r="J225" s="7"/>
      <c r="K225" s="7"/>
      <c r="L225" s="7"/>
      <c r="M225" s="7"/>
    </row>
    <row r="226" spans="2:13">
      <c r="B226" s="7"/>
      <c r="C226" s="7"/>
      <c r="D226" s="7"/>
      <c r="E226" s="7"/>
      <c r="F226" s="7"/>
      <c r="G226" s="7"/>
      <c r="J226" s="7"/>
      <c r="K226" s="7"/>
      <c r="L226" s="7"/>
      <c r="M226" s="7"/>
    </row>
    <row r="227" spans="2:13">
      <c r="B227" s="7"/>
      <c r="C227" s="7"/>
      <c r="D227" s="7"/>
      <c r="E227" s="7"/>
      <c r="F227" s="7"/>
      <c r="G227" s="7"/>
      <c r="J227" s="7"/>
      <c r="K227" s="7"/>
      <c r="L227" s="7"/>
      <c r="M227" s="7"/>
    </row>
    <row r="228" spans="2:13">
      <c r="B228" s="7"/>
      <c r="C228" s="7"/>
      <c r="D228" s="7"/>
      <c r="E228" s="7"/>
      <c r="F228" s="7"/>
      <c r="G228" s="7"/>
      <c r="J228" s="7"/>
      <c r="K228" s="7"/>
      <c r="L228" s="7"/>
      <c r="M228" s="7"/>
    </row>
    <row r="229" spans="2:13">
      <c r="B229" s="7"/>
      <c r="C229" s="7"/>
      <c r="D229" s="7"/>
      <c r="E229" s="7"/>
      <c r="F229" s="7"/>
      <c r="G229" s="7"/>
      <c r="J229" s="7"/>
      <c r="K229" s="7"/>
      <c r="L229" s="7"/>
      <c r="M229" s="7"/>
    </row>
    <row r="230" spans="2:13">
      <c r="B230" s="7"/>
      <c r="C230" s="7"/>
      <c r="D230" s="7"/>
      <c r="E230" s="7"/>
      <c r="F230" s="7"/>
      <c r="G230" s="7"/>
      <c r="J230" s="7"/>
      <c r="K230" s="7"/>
      <c r="L230" s="7"/>
      <c r="M230" s="7"/>
    </row>
    <row r="231" spans="2:13">
      <c r="B231" s="7"/>
      <c r="C231" s="7"/>
      <c r="D231" s="7"/>
      <c r="E231" s="7"/>
      <c r="F231" s="7"/>
      <c r="G231" s="7"/>
      <c r="J231" s="7"/>
      <c r="K231" s="7"/>
      <c r="L231" s="7"/>
      <c r="M231" s="7"/>
    </row>
    <row r="232" spans="2:13">
      <c r="B232" s="7"/>
      <c r="C232" s="7"/>
      <c r="D232" s="7"/>
      <c r="E232" s="7"/>
      <c r="F232" s="7"/>
      <c r="G232" s="7"/>
      <c r="J232" s="7"/>
      <c r="K232" s="7"/>
      <c r="L232" s="7"/>
      <c r="M232" s="7"/>
    </row>
    <row r="233" spans="2:13">
      <c r="B233" s="7"/>
      <c r="C233" s="7"/>
      <c r="D233" s="7"/>
      <c r="E233" s="7"/>
      <c r="F233" s="7"/>
      <c r="G233" s="7"/>
      <c r="J233" s="7"/>
      <c r="K233" s="7"/>
      <c r="L233" s="7"/>
      <c r="M233" s="7"/>
    </row>
    <row r="234" spans="2:13">
      <c r="B234" s="7"/>
      <c r="C234" s="7"/>
      <c r="D234" s="7"/>
      <c r="E234" s="7"/>
      <c r="F234" s="7"/>
      <c r="G234" s="7"/>
      <c r="J234" s="7"/>
      <c r="K234" s="7"/>
      <c r="L234" s="7"/>
      <c r="M234" s="7"/>
    </row>
    <row r="235" spans="2:13">
      <c r="B235" s="7"/>
      <c r="C235" s="7"/>
      <c r="D235" s="7"/>
      <c r="E235" s="7"/>
      <c r="F235" s="7"/>
      <c r="G235" s="7"/>
      <c r="J235" s="7"/>
      <c r="K235" s="7"/>
      <c r="L235" s="7"/>
      <c r="M235" s="7"/>
    </row>
    <row r="236" spans="2:13">
      <c r="B236" s="7"/>
      <c r="C236" s="7"/>
      <c r="D236" s="7"/>
      <c r="E236" s="7"/>
      <c r="F236" s="7"/>
      <c r="G236" s="7"/>
      <c r="J236" s="7"/>
      <c r="K236" s="7"/>
      <c r="L236" s="7"/>
      <c r="M236" s="7"/>
    </row>
    <row r="237" spans="2:13">
      <c r="B237" s="7"/>
      <c r="C237" s="7"/>
      <c r="D237" s="7"/>
      <c r="E237" s="7"/>
      <c r="F237" s="7"/>
      <c r="G237" s="7"/>
      <c r="J237" s="7"/>
      <c r="K237" s="7"/>
      <c r="L237" s="7"/>
      <c r="M237" s="7"/>
    </row>
    <row r="238" spans="2:13">
      <c r="B238" s="7"/>
      <c r="C238" s="7"/>
      <c r="D238" s="7"/>
      <c r="E238" s="7"/>
      <c r="F238" s="7"/>
      <c r="G238" s="7"/>
      <c r="J238" s="7"/>
      <c r="K238" s="7"/>
      <c r="L238" s="7"/>
      <c r="M238" s="7"/>
    </row>
    <row r="239" spans="2:13">
      <c r="B239" s="7"/>
      <c r="C239" s="7"/>
      <c r="D239" s="7"/>
      <c r="E239" s="7"/>
      <c r="F239" s="7"/>
      <c r="G239" s="7"/>
      <c r="J239" s="7"/>
      <c r="K239" s="7"/>
      <c r="L239" s="7"/>
      <c r="M239" s="7"/>
    </row>
    <row r="240" spans="2:13">
      <c r="B240" s="7"/>
      <c r="C240" s="7"/>
      <c r="D240" s="7"/>
      <c r="E240" s="7"/>
      <c r="F240" s="7"/>
      <c r="G240" s="7"/>
      <c r="J240" s="7"/>
      <c r="K240" s="7"/>
      <c r="L240" s="7"/>
      <c r="M240" s="7"/>
    </row>
    <row r="241" spans="2:13">
      <c r="B241" s="7"/>
      <c r="C241" s="7"/>
      <c r="D241" s="7"/>
      <c r="E241" s="7"/>
      <c r="F241" s="7"/>
      <c r="G241" s="7"/>
      <c r="J241" s="7"/>
      <c r="K241" s="7"/>
      <c r="L241" s="7"/>
      <c r="M241" s="7"/>
    </row>
    <row r="242" spans="2:13">
      <c r="B242" s="7"/>
      <c r="C242" s="7"/>
      <c r="D242" s="7"/>
      <c r="E242" s="7"/>
      <c r="F242" s="7"/>
      <c r="G242" s="7"/>
      <c r="J242" s="7"/>
      <c r="K242" s="7"/>
      <c r="L242" s="7"/>
      <c r="M242" s="7"/>
    </row>
    <row r="243" spans="2:13">
      <c r="B243" s="7"/>
      <c r="C243" s="7"/>
      <c r="D243" s="7"/>
      <c r="E243" s="7"/>
      <c r="F243" s="7"/>
      <c r="G243" s="7"/>
      <c r="J243" s="7"/>
      <c r="K243" s="7"/>
      <c r="L243" s="7"/>
      <c r="M243" s="7"/>
    </row>
    <row r="244" spans="2:13">
      <c r="B244" s="7"/>
      <c r="C244" s="7"/>
      <c r="D244" s="7"/>
      <c r="E244" s="7"/>
      <c r="F244" s="7"/>
      <c r="G244" s="7"/>
      <c r="J244" s="7"/>
      <c r="K244" s="7"/>
      <c r="L244" s="7"/>
      <c r="M244" s="7"/>
    </row>
    <row r="245" spans="2:13">
      <c r="B245" s="7"/>
      <c r="C245" s="7"/>
      <c r="D245" s="7"/>
      <c r="E245" s="7"/>
      <c r="F245" s="7"/>
      <c r="G245" s="7"/>
      <c r="J245" s="7"/>
      <c r="K245" s="7"/>
      <c r="L245" s="7"/>
      <c r="M245" s="7"/>
    </row>
    <row r="246" spans="2:13">
      <c r="B246" s="7"/>
      <c r="C246" s="7"/>
      <c r="D246" s="7"/>
      <c r="E246" s="7"/>
      <c r="F246" s="7"/>
      <c r="G246" s="7"/>
      <c r="J246" s="7"/>
      <c r="K246" s="7"/>
      <c r="L246" s="7"/>
      <c r="M246" s="7"/>
    </row>
    <row r="247" spans="2:13">
      <c r="B247" s="7"/>
      <c r="C247" s="7"/>
      <c r="D247" s="7"/>
      <c r="E247" s="7"/>
      <c r="F247" s="7"/>
      <c r="G247" s="7"/>
      <c r="J247" s="7"/>
      <c r="K247" s="7"/>
      <c r="L247" s="7" t="str">
        <f t="shared" ref="L247:L268" si="5">IFERROR(PPMT($B$6/12,A247,$B$2,$B$1),"")</f>
        <v/>
      </c>
      <c r="M247" s="7" t="str">
        <f t="shared" ref="M247:M268" si="6">IFERROR(K247+L247,"")</f>
        <v/>
      </c>
    </row>
    <row r="248" spans="2:13">
      <c r="B248" s="7"/>
      <c r="C248" s="7"/>
      <c r="D248" s="7"/>
      <c r="E248" s="7"/>
      <c r="F248" s="7"/>
      <c r="G248" s="7"/>
      <c r="J248" s="7"/>
      <c r="K248" s="7"/>
      <c r="L248" s="7" t="str">
        <f t="shared" si="5"/>
        <v/>
      </c>
      <c r="M248" s="7" t="str">
        <f t="shared" si="6"/>
        <v/>
      </c>
    </row>
    <row r="249" spans="2:13">
      <c r="B249" s="7"/>
      <c r="C249" s="7"/>
      <c r="D249" s="7"/>
      <c r="E249" s="7"/>
      <c r="F249" s="7"/>
      <c r="G249" s="7"/>
      <c r="J249" s="7"/>
      <c r="K249" s="7"/>
      <c r="L249" s="7" t="str">
        <f t="shared" si="5"/>
        <v/>
      </c>
      <c r="M249" s="7" t="str">
        <f t="shared" si="6"/>
        <v/>
      </c>
    </row>
    <row r="250" spans="2:13">
      <c r="B250" s="7"/>
      <c r="C250" s="7"/>
      <c r="D250" s="7"/>
      <c r="E250" s="7"/>
      <c r="F250" s="7"/>
      <c r="G250" s="7"/>
      <c r="J250" s="7"/>
      <c r="K250" s="7"/>
      <c r="L250" s="7" t="str">
        <f t="shared" si="5"/>
        <v/>
      </c>
      <c r="M250" s="7" t="str">
        <f t="shared" si="6"/>
        <v/>
      </c>
    </row>
    <row r="251" spans="2:13">
      <c r="B251" s="7"/>
      <c r="C251" s="7"/>
      <c r="D251" s="7"/>
      <c r="E251" s="7"/>
      <c r="F251" s="7"/>
      <c r="G251" s="7"/>
      <c r="J251" s="7"/>
      <c r="K251" s="7"/>
      <c r="L251" s="7" t="str">
        <f t="shared" si="5"/>
        <v/>
      </c>
      <c r="M251" s="7" t="str">
        <f t="shared" si="6"/>
        <v/>
      </c>
    </row>
    <row r="252" spans="2:13">
      <c r="B252" s="7"/>
      <c r="C252" s="7"/>
      <c r="D252" s="7"/>
      <c r="E252" s="7"/>
      <c r="F252" s="7"/>
      <c r="G252" s="7"/>
      <c r="J252" s="7"/>
      <c r="K252" s="7"/>
      <c r="L252" s="7" t="str">
        <f t="shared" si="5"/>
        <v/>
      </c>
      <c r="M252" s="7" t="str">
        <f t="shared" si="6"/>
        <v/>
      </c>
    </row>
    <row r="253" spans="2:13">
      <c r="B253" s="7"/>
      <c r="C253" s="7"/>
      <c r="D253" s="7"/>
      <c r="E253" s="7"/>
      <c r="F253" s="7"/>
      <c r="G253" s="7"/>
      <c r="J253" s="7"/>
      <c r="K253" s="7"/>
      <c r="L253" s="7" t="str">
        <f t="shared" si="5"/>
        <v/>
      </c>
      <c r="M253" s="7" t="str">
        <f t="shared" si="6"/>
        <v/>
      </c>
    </row>
    <row r="254" spans="2:13">
      <c r="B254" s="7"/>
      <c r="C254" s="7"/>
      <c r="D254" s="7"/>
      <c r="E254" s="7"/>
      <c r="F254" s="7"/>
      <c r="G254" s="7"/>
      <c r="J254" s="7"/>
      <c r="K254" s="7"/>
      <c r="L254" s="7" t="str">
        <f t="shared" si="5"/>
        <v/>
      </c>
      <c r="M254" s="7" t="str">
        <f t="shared" si="6"/>
        <v/>
      </c>
    </row>
    <row r="255" spans="2:13">
      <c r="B255" s="7"/>
      <c r="C255" s="7"/>
      <c r="D255" s="7"/>
      <c r="E255" s="7"/>
      <c r="F255" s="7"/>
      <c r="G255" s="7"/>
      <c r="J255" s="7"/>
      <c r="K255" s="7"/>
      <c r="L255" s="7" t="str">
        <f t="shared" si="5"/>
        <v/>
      </c>
      <c r="M255" s="7" t="str">
        <f t="shared" si="6"/>
        <v/>
      </c>
    </row>
    <row r="256" spans="2:13">
      <c r="B256" s="7"/>
      <c r="C256" s="7"/>
      <c r="D256" s="7"/>
      <c r="E256" s="7"/>
      <c r="F256" s="7"/>
      <c r="G256" s="7"/>
      <c r="J256" s="7"/>
      <c r="K256" s="7"/>
      <c r="L256" s="7" t="str">
        <f t="shared" si="5"/>
        <v/>
      </c>
      <c r="M256" s="7" t="str">
        <f t="shared" si="6"/>
        <v/>
      </c>
    </row>
    <row r="257" spans="2:13">
      <c r="B257" s="7"/>
      <c r="C257" s="7"/>
      <c r="D257" s="7"/>
      <c r="E257" s="7"/>
      <c r="F257" s="7"/>
      <c r="G257" s="7"/>
      <c r="J257" s="7"/>
      <c r="K257" s="7"/>
      <c r="L257" s="7" t="str">
        <f t="shared" si="5"/>
        <v/>
      </c>
      <c r="M257" s="7" t="str">
        <f t="shared" si="6"/>
        <v/>
      </c>
    </row>
    <row r="258" spans="2:13">
      <c r="B258" s="7"/>
      <c r="C258" s="7"/>
      <c r="D258" s="7"/>
      <c r="E258" s="7"/>
      <c r="F258" s="7"/>
      <c r="G258" s="7"/>
      <c r="J258" s="7"/>
      <c r="K258" s="7"/>
      <c r="L258" s="7" t="str">
        <f t="shared" si="5"/>
        <v/>
      </c>
      <c r="M258" s="7" t="str">
        <f t="shared" si="6"/>
        <v/>
      </c>
    </row>
    <row r="259" spans="2:13">
      <c r="B259" s="7"/>
      <c r="C259" s="7"/>
      <c r="D259" s="7"/>
      <c r="E259" s="7"/>
      <c r="F259" s="7"/>
      <c r="G259" s="7"/>
      <c r="J259" s="7"/>
      <c r="K259" s="7"/>
      <c r="L259" s="7" t="str">
        <f t="shared" si="5"/>
        <v/>
      </c>
      <c r="M259" s="7" t="str">
        <f t="shared" si="6"/>
        <v/>
      </c>
    </row>
    <row r="260" spans="2:13">
      <c r="B260" s="7"/>
      <c r="C260" s="7"/>
      <c r="D260" s="7"/>
      <c r="E260" s="7"/>
      <c r="F260" s="7"/>
      <c r="G260" s="7"/>
      <c r="J260" s="7"/>
      <c r="K260" s="7"/>
      <c r="L260" s="7" t="str">
        <f t="shared" si="5"/>
        <v/>
      </c>
      <c r="M260" s="7" t="str">
        <f t="shared" si="6"/>
        <v/>
      </c>
    </row>
    <row r="261" spans="2:13">
      <c r="B261" s="7"/>
      <c r="C261" s="7"/>
      <c r="D261" s="7"/>
      <c r="E261" s="7"/>
      <c r="F261" s="7"/>
      <c r="G261" s="7"/>
      <c r="J261" s="7"/>
      <c r="K261" s="7"/>
      <c r="L261" s="7" t="str">
        <f t="shared" si="5"/>
        <v/>
      </c>
      <c r="M261" s="7" t="str">
        <f t="shared" si="6"/>
        <v/>
      </c>
    </row>
    <row r="262" spans="2:13">
      <c r="B262" s="7"/>
      <c r="C262" s="7"/>
      <c r="D262" s="7"/>
      <c r="E262" s="7"/>
      <c r="F262" s="7"/>
      <c r="G262" s="7"/>
      <c r="J262" s="7"/>
      <c r="K262" s="7"/>
      <c r="L262" s="7" t="str">
        <f t="shared" si="5"/>
        <v/>
      </c>
      <c r="M262" s="7" t="str">
        <f t="shared" si="6"/>
        <v/>
      </c>
    </row>
    <row r="263" spans="2:13">
      <c r="B263" s="7"/>
      <c r="C263" s="7"/>
      <c r="D263" s="7"/>
      <c r="E263" s="7"/>
      <c r="F263" s="7"/>
      <c r="G263" s="7"/>
      <c r="J263" s="7"/>
      <c r="K263" s="7"/>
      <c r="L263" s="7" t="str">
        <f t="shared" si="5"/>
        <v/>
      </c>
      <c r="M263" s="7" t="str">
        <f t="shared" si="6"/>
        <v/>
      </c>
    </row>
    <row r="264" spans="2:13">
      <c r="B264" s="7"/>
      <c r="C264" s="7"/>
      <c r="D264" s="7"/>
      <c r="E264" s="7"/>
      <c r="F264" s="7"/>
      <c r="G264" s="7"/>
      <c r="J264" s="7"/>
      <c r="K264" s="7"/>
      <c r="L264" s="7" t="str">
        <f t="shared" si="5"/>
        <v/>
      </c>
      <c r="M264" s="7" t="str">
        <f t="shared" si="6"/>
        <v/>
      </c>
    </row>
    <row r="265" spans="2:13">
      <c r="B265" s="7"/>
      <c r="C265" s="7"/>
      <c r="D265" s="7"/>
      <c r="E265" s="7"/>
      <c r="F265" s="7"/>
      <c r="G265" s="7"/>
      <c r="J265" s="7"/>
      <c r="K265" s="7"/>
      <c r="L265" s="7" t="str">
        <f t="shared" si="5"/>
        <v/>
      </c>
      <c r="M265" s="7" t="str">
        <f t="shared" si="6"/>
        <v/>
      </c>
    </row>
    <row r="266" spans="2:13">
      <c r="B266" s="7"/>
      <c r="C266" s="7"/>
      <c r="D266" s="7"/>
      <c r="E266" s="7"/>
      <c r="F266" s="7"/>
      <c r="G266" s="7"/>
      <c r="J266" s="7"/>
      <c r="K266" s="7"/>
      <c r="L266" s="7" t="str">
        <f t="shared" si="5"/>
        <v/>
      </c>
      <c r="M266" s="7" t="str">
        <f t="shared" si="6"/>
        <v/>
      </c>
    </row>
    <row r="267" spans="2:13">
      <c r="B267" s="7"/>
      <c r="C267" s="7"/>
      <c r="D267" s="7"/>
      <c r="E267" s="7"/>
      <c r="F267" s="7"/>
      <c r="G267" s="7"/>
      <c r="J267" s="7"/>
      <c r="K267" s="7"/>
      <c r="L267" s="7" t="str">
        <f t="shared" si="5"/>
        <v/>
      </c>
      <c r="M267" s="7" t="str">
        <f t="shared" si="6"/>
        <v/>
      </c>
    </row>
    <row r="268" spans="2:13">
      <c r="B268" s="7"/>
      <c r="C268" s="7"/>
      <c r="D268" s="7"/>
      <c r="E268" s="7"/>
      <c r="F268" s="7"/>
      <c r="G268" s="7"/>
      <c r="J268" s="7"/>
      <c r="K268" s="7"/>
      <c r="L268" s="7" t="str">
        <f t="shared" si="5"/>
        <v/>
      </c>
      <c r="M268" s="7" t="str">
        <f t="shared" si="6"/>
        <v/>
      </c>
    </row>
    <row r="269" spans="2:13">
      <c r="B269" s="7"/>
      <c r="C269" s="7"/>
      <c r="D269" s="7"/>
      <c r="E269" s="7"/>
      <c r="F269" s="7"/>
      <c r="G269" s="7"/>
      <c r="J269" s="7"/>
      <c r="K269" s="7"/>
      <c r="L269" s="7"/>
      <c r="M269" s="7"/>
    </row>
    <row r="270" spans="2:13">
      <c r="B270" s="7"/>
      <c r="C270" s="7"/>
      <c r="D270" s="7"/>
      <c r="E270" s="7"/>
      <c r="F270" s="7"/>
      <c r="G270" s="7"/>
      <c r="J270" s="7"/>
      <c r="K270" s="7"/>
      <c r="L270" s="7"/>
      <c r="M270" s="7"/>
    </row>
    <row r="271" spans="2:13">
      <c r="B271" s="7"/>
      <c r="C271" s="7"/>
      <c r="D271" s="7"/>
      <c r="E271" s="7"/>
      <c r="F271" s="7"/>
      <c r="G271" s="7"/>
      <c r="J271" s="7"/>
      <c r="K271" s="7"/>
      <c r="L271" s="7"/>
      <c r="M271" s="7"/>
    </row>
    <row r="272" spans="2:13">
      <c r="B272" s="7"/>
      <c r="C272" s="7"/>
      <c r="D272" s="7"/>
      <c r="E272" s="7"/>
      <c r="F272" s="7"/>
      <c r="G272" s="7"/>
      <c r="J272" s="7"/>
      <c r="K272" s="7"/>
      <c r="L272" s="7"/>
      <c r="M272" s="7"/>
    </row>
    <row r="273" spans="2:13">
      <c r="B273" s="7"/>
      <c r="C273" s="7"/>
      <c r="D273" s="7"/>
      <c r="E273" s="7"/>
      <c r="F273" s="7"/>
      <c r="G273" s="7"/>
      <c r="J273" s="7"/>
      <c r="K273" s="7"/>
      <c r="L273" s="7"/>
      <c r="M273" s="7"/>
    </row>
    <row r="274" spans="2:13">
      <c r="B274" s="7"/>
      <c r="C274" s="7"/>
      <c r="D274" s="7"/>
      <c r="E274" s="7"/>
      <c r="F274" s="7"/>
      <c r="G274" s="7"/>
      <c r="J274" s="7"/>
      <c r="K274" s="7"/>
      <c r="L274" s="7"/>
      <c r="M274" s="7"/>
    </row>
    <row r="275" spans="2:13">
      <c r="B275" s="7"/>
      <c r="C275" s="7"/>
      <c r="D275" s="7"/>
      <c r="E275" s="7"/>
      <c r="F275" s="7"/>
      <c r="G275" s="7"/>
      <c r="J275" s="7"/>
      <c r="K275" s="7"/>
      <c r="L275" s="7"/>
      <c r="M275" s="7"/>
    </row>
    <row r="276" spans="2:13">
      <c r="B276" s="7"/>
      <c r="C276" s="7"/>
      <c r="D276" s="7"/>
      <c r="E276" s="7"/>
      <c r="F276" s="7"/>
      <c r="G276" s="7"/>
      <c r="J276" s="7"/>
      <c r="K276" s="7"/>
      <c r="L276" s="7"/>
      <c r="M276" s="7"/>
    </row>
    <row r="277" spans="2:13">
      <c r="B277" s="7"/>
      <c r="C277" s="7"/>
      <c r="D277" s="7"/>
      <c r="E277" s="7"/>
      <c r="F277" s="7"/>
      <c r="G277" s="7"/>
      <c r="J277" s="7"/>
      <c r="K277" s="7"/>
      <c r="L277" s="7"/>
      <c r="M277" s="7"/>
    </row>
    <row r="278" spans="2:13">
      <c r="B278" s="7"/>
      <c r="C278" s="7"/>
      <c r="D278" s="7"/>
      <c r="E278" s="7"/>
      <c r="F278" s="7"/>
      <c r="G278" s="7"/>
      <c r="J278" s="7"/>
      <c r="K278" s="7"/>
      <c r="L278" s="7"/>
      <c r="M278" s="7"/>
    </row>
    <row r="279" spans="2:13">
      <c r="B279" s="7"/>
      <c r="C279" s="7"/>
      <c r="D279" s="7"/>
      <c r="E279" s="7"/>
      <c r="F279" s="7"/>
      <c r="G279" s="7"/>
      <c r="J279" s="7"/>
      <c r="K279" s="7"/>
      <c r="L279" s="7"/>
      <c r="M279" s="7"/>
    </row>
    <row r="280" spans="2:13">
      <c r="B280" s="7"/>
      <c r="C280" s="7"/>
      <c r="D280" s="7"/>
      <c r="E280" s="7"/>
      <c r="F280" s="7"/>
      <c r="G280" s="7"/>
      <c r="J280" s="7"/>
      <c r="K280" s="7"/>
      <c r="L280" s="7"/>
      <c r="M280" s="7"/>
    </row>
    <row r="281" spans="2:13">
      <c r="B281" s="7"/>
      <c r="C281" s="7"/>
      <c r="D281" s="7"/>
      <c r="E281" s="7"/>
      <c r="F281" s="7"/>
      <c r="G281" s="7"/>
      <c r="J281" s="7"/>
      <c r="K281" s="7"/>
      <c r="L281" s="7"/>
      <c r="M281" s="7"/>
    </row>
    <row r="282" spans="2:13">
      <c r="B282" s="7"/>
      <c r="C282" s="7"/>
      <c r="D282" s="7"/>
      <c r="E282" s="7"/>
      <c r="F282" s="7"/>
      <c r="G282" s="7"/>
      <c r="J282" s="7"/>
      <c r="K282" s="7"/>
      <c r="L282" s="7"/>
      <c r="M282" s="7"/>
    </row>
    <row r="283" spans="2:13">
      <c r="B283" s="7"/>
      <c r="C283" s="7"/>
      <c r="D283" s="7"/>
      <c r="E283" s="7"/>
      <c r="F283" s="7"/>
      <c r="G283" s="7"/>
      <c r="J283" s="7"/>
      <c r="K283" s="7"/>
      <c r="L283" s="7"/>
      <c r="M283" s="7"/>
    </row>
    <row r="284" spans="2:13">
      <c r="B284" s="7"/>
      <c r="C284" s="7"/>
      <c r="D284" s="7"/>
      <c r="E284" s="7"/>
      <c r="F284" s="7"/>
      <c r="G284" s="7"/>
      <c r="J284" s="7"/>
      <c r="K284" s="7"/>
      <c r="L284" s="7"/>
      <c r="M284" s="7"/>
    </row>
    <row r="285" spans="2:13">
      <c r="B285" s="7"/>
      <c r="C285" s="7"/>
      <c r="D285" s="7"/>
      <c r="E285" s="7"/>
      <c r="F285" s="7"/>
      <c r="G285" s="7"/>
      <c r="J285" s="7"/>
      <c r="K285" s="7"/>
      <c r="L285" s="7"/>
      <c r="M285" s="7"/>
    </row>
    <row r="286" spans="2:13">
      <c r="B286" s="7"/>
      <c r="C286" s="7"/>
      <c r="D286" s="7"/>
      <c r="E286" s="7"/>
      <c r="F286" s="7"/>
      <c r="G286" s="7"/>
      <c r="J286" s="7"/>
      <c r="K286" s="7"/>
      <c r="L286" s="7"/>
      <c r="M286" s="7"/>
    </row>
    <row r="287" spans="2:13">
      <c r="B287" s="7"/>
      <c r="C287" s="7"/>
      <c r="D287" s="7"/>
      <c r="E287" s="7"/>
      <c r="F287" s="7"/>
      <c r="G287" s="7"/>
      <c r="J287" s="7"/>
      <c r="K287" s="7"/>
      <c r="L287" s="7"/>
      <c r="M287" s="7"/>
    </row>
    <row r="288" spans="2:13">
      <c r="B288" s="7"/>
      <c r="C288" s="7"/>
      <c r="D288" s="7"/>
      <c r="E288" s="7"/>
      <c r="F288" s="7"/>
      <c r="G288" s="7"/>
      <c r="J288" s="7"/>
      <c r="K288" s="7"/>
      <c r="L288" s="7"/>
      <c r="M288" s="7"/>
    </row>
    <row r="289" spans="2:13">
      <c r="B289" s="7"/>
      <c r="C289" s="7"/>
      <c r="D289" s="7"/>
      <c r="E289" s="7"/>
      <c r="F289" s="7"/>
      <c r="G289" s="7"/>
      <c r="J289" s="7"/>
      <c r="K289" s="7"/>
      <c r="L289" s="7"/>
      <c r="M289" s="7"/>
    </row>
    <row r="290" spans="2:13">
      <c r="B290" s="7"/>
      <c r="C290" s="7"/>
      <c r="D290" s="7"/>
      <c r="E290" s="7"/>
      <c r="F290" s="7"/>
      <c r="G290" s="7"/>
      <c r="J290" s="7"/>
      <c r="K290" s="7"/>
      <c r="L290" s="7"/>
      <c r="M290" s="7"/>
    </row>
    <row r="291" spans="2:13">
      <c r="B291" s="7"/>
      <c r="C291" s="7"/>
      <c r="D291" s="7"/>
      <c r="E291" s="7"/>
      <c r="F291" s="7"/>
      <c r="G291" s="7"/>
      <c r="J291" s="7"/>
      <c r="K291" s="7"/>
      <c r="L291" s="7"/>
      <c r="M291" s="7"/>
    </row>
    <row r="292" spans="2:13">
      <c r="B292" s="7"/>
      <c r="C292" s="7"/>
      <c r="D292" s="7"/>
      <c r="E292" s="7"/>
      <c r="F292" s="7"/>
      <c r="G292" s="7"/>
      <c r="J292" s="7"/>
      <c r="K292" s="7"/>
      <c r="L292" s="7"/>
      <c r="M292" s="7"/>
    </row>
    <row r="293" spans="2:13">
      <c r="B293" s="7"/>
      <c r="C293" s="7"/>
      <c r="D293" s="7"/>
      <c r="E293" s="7"/>
      <c r="F293" s="7"/>
      <c r="G293" s="7"/>
      <c r="J293" s="7"/>
      <c r="K293" s="7"/>
      <c r="L293" s="7"/>
      <c r="M293" s="7"/>
    </row>
    <row r="294" spans="2:13">
      <c r="B294" s="7"/>
      <c r="C294" s="7"/>
      <c r="D294" s="7"/>
      <c r="E294" s="7"/>
      <c r="F294" s="7"/>
      <c r="G294" s="7"/>
      <c r="J294" s="7"/>
      <c r="K294" s="7"/>
      <c r="L294" s="7"/>
      <c r="M294" s="7"/>
    </row>
    <row r="295" spans="2:13">
      <c r="B295" s="7"/>
      <c r="C295" s="7"/>
      <c r="D295" s="7"/>
      <c r="E295" s="7"/>
      <c r="F295" s="7"/>
      <c r="G295" s="7"/>
      <c r="J295" s="7"/>
      <c r="K295" s="7"/>
      <c r="L295" s="7"/>
      <c r="M295" s="7"/>
    </row>
    <row r="296" spans="2:13">
      <c r="B296" s="7"/>
      <c r="C296" s="7"/>
      <c r="D296" s="7"/>
      <c r="E296" s="7"/>
      <c r="F296" s="7"/>
      <c r="G296" s="7"/>
      <c r="J296" s="7"/>
      <c r="K296" s="7"/>
      <c r="L296" s="7"/>
      <c r="M296" s="7"/>
    </row>
    <row r="297" spans="2:13">
      <c r="B297" s="7"/>
      <c r="C297" s="7"/>
      <c r="D297" s="7"/>
      <c r="E297" s="7"/>
      <c r="F297" s="7"/>
      <c r="G297" s="7"/>
      <c r="J297" s="7"/>
      <c r="K297" s="7"/>
      <c r="L297" s="7"/>
      <c r="M297" s="7"/>
    </row>
    <row r="298" spans="2:13">
      <c r="B298" s="7"/>
      <c r="C298" s="7"/>
      <c r="D298" s="7"/>
      <c r="E298" s="7"/>
      <c r="F298" s="7"/>
      <c r="G298" s="7"/>
      <c r="J298" s="7"/>
      <c r="K298" s="7"/>
      <c r="L298" s="7"/>
      <c r="M298" s="7"/>
    </row>
    <row r="299" spans="2:13">
      <c r="B299" s="7"/>
      <c r="C299" s="7"/>
      <c r="D299" s="7"/>
      <c r="E299" s="7"/>
      <c r="F299" s="7"/>
      <c r="G299" s="7"/>
      <c r="J299" s="7"/>
      <c r="K299" s="7"/>
      <c r="L299" s="7"/>
      <c r="M299" s="7"/>
    </row>
    <row r="300" spans="2:13">
      <c r="B300" s="7"/>
      <c r="C300" s="7"/>
      <c r="D300" s="7"/>
      <c r="E300" s="7"/>
      <c r="F300" s="7"/>
      <c r="G300" s="7"/>
      <c r="J300" s="7"/>
      <c r="K300" s="7"/>
      <c r="L300" s="7"/>
      <c r="M300" s="7"/>
    </row>
    <row r="301" spans="2:13">
      <c r="B301" s="7"/>
      <c r="C301" s="7"/>
      <c r="D301" s="7"/>
      <c r="E301" s="7"/>
      <c r="F301" s="7"/>
      <c r="G301" s="7"/>
      <c r="J301" s="7"/>
      <c r="K301" s="7"/>
      <c r="L301" s="7"/>
      <c r="M301" s="7"/>
    </row>
    <row r="302" spans="2:13">
      <c r="B302" s="7"/>
      <c r="C302" s="7"/>
      <c r="D302" s="7"/>
      <c r="E302" s="7"/>
      <c r="F302" s="7"/>
      <c r="G302" s="7"/>
      <c r="J302" s="7"/>
      <c r="K302" s="7"/>
      <c r="L302" s="7"/>
      <c r="M302" s="7"/>
    </row>
    <row r="303" spans="2:13">
      <c r="B303" s="7"/>
      <c r="C303" s="7"/>
      <c r="D303" s="7"/>
      <c r="E303" s="7"/>
      <c r="F303" s="7"/>
      <c r="G303" s="7"/>
      <c r="J303" s="7"/>
      <c r="K303" s="7"/>
      <c r="L303" s="7"/>
      <c r="M303" s="7"/>
    </row>
    <row r="304" spans="2:13">
      <c r="B304" s="7"/>
      <c r="C304" s="7"/>
      <c r="D304" s="7"/>
      <c r="E304" s="7"/>
      <c r="F304" s="7"/>
      <c r="G304" s="7"/>
      <c r="J304" s="7"/>
      <c r="K304" s="7"/>
      <c r="L304" s="7"/>
      <c r="M304" s="7"/>
    </row>
    <row r="305" spans="2:13">
      <c r="B305" s="7"/>
      <c r="C305" s="7"/>
      <c r="D305" s="7"/>
      <c r="E305" s="7"/>
      <c r="F305" s="7"/>
      <c r="G305" s="7"/>
      <c r="J305" s="7"/>
      <c r="K305" s="7"/>
      <c r="L305" s="7"/>
      <c r="M305" s="7"/>
    </row>
    <row r="306" spans="2:13">
      <c r="B306" s="7"/>
      <c r="C306" s="7"/>
      <c r="D306" s="7"/>
      <c r="E306" s="7"/>
      <c r="F306" s="7"/>
      <c r="G306" s="7"/>
      <c r="J306" s="7"/>
      <c r="K306" s="7"/>
      <c r="L306" s="7"/>
      <c r="M306" s="7"/>
    </row>
    <row r="307" spans="2:13">
      <c r="B307" s="7"/>
      <c r="C307" s="7"/>
      <c r="D307" s="7"/>
      <c r="E307" s="7"/>
      <c r="F307" s="7"/>
      <c r="G307" s="7"/>
      <c r="J307" s="7"/>
      <c r="K307" s="7"/>
      <c r="L307" s="7"/>
      <c r="M307" s="7"/>
    </row>
    <row r="308" spans="2:13">
      <c r="B308" s="7"/>
      <c r="C308" s="7"/>
      <c r="D308" s="7"/>
      <c r="E308" s="7"/>
      <c r="F308" s="7"/>
      <c r="G308" s="7"/>
      <c r="J308" s="7"/>
      <c r="K308" s="7" t="str">
        <f t="shared" ref="K308:K317" si="7">IFERROR(IPMT($B$6/12,A308,$B$2,$B$1),"")</f>
        <v/>
      </c>
      <c r="L308" s="7" t="str">
        <f t="shared" ref="L308:L317" si="8">IFERROR(PPMT($B$6/12,A308,$B$2,$B$1),"")</f>
        <v/>
      </c>
      <c r="M308" s="7" t="str">
        <f t="shared" ref="M308:M317" si="9">IFERROR(K308+L308,"")</f>
        <v/>
      </c>
    </row>
    <row r="309" spans="2:13">
      <c r="B309" s="7"/>
      <c r="C309" s="7"/>
      <c r="D309" s="7"/>
      <c r="E309" s="7"/>
      <c r="F309" s="7"/>
      <c r="G309" s="7"/>
      <c r="J309" s="7"/>
      <c r="K309" s="7" t="str">
        <f t="shared" si="7"/>
        <v/>
      </c>
      <c r="L309" s="7" t="str">
        <f t="shared" si="8"/>
        <v/>
      </c>
      <c r="M309" s="7" t="str">
        <f t="shared" si="9"/>
        <v/>
      </c>
    </row>
    <row r="310" spans="2:13">
      <c r="B310" s="7"/>
      <c r="C310" s="7"/>
      <c r="D310" s="7"/>
      <c r="E310" s="7"/>
      <c r="F310" s="7"/>
      <c r="G310" s="7"/>
      <c r="J310" s="7"/>
      <c r="K310" s="7" t="str">
        <f t="shared" si="7"/>
        <v/>
      </c>
      <c r="L310" s="7" t="str">
        <f t="shared" si="8"/>
        <v/>
      </c>
      <c r="M310" s="7" t="str">
        <f t="shared" si="9"/>
        <v/>
      </c>
    </row>
    <row r="311" spans="2:13">
      <c r="B311" s="7"/>
      <c r="C311" s="7"/>
      <c r="D311" s="7"/>
      <c r="E311" s="7"/>
      <c r="F311" s="7"/>
      <c r="G311" s="7"/>
      <c r="J311" s="7"/>
      <c r="K311" s="7" t="str">
        <f t="shared" si="7"/>
        <v/>
      </c>
      <c r="L311" s="7" t="str">
        <f t="shared" si="8"/>
        <v/>
      </c>
      <c r="M311" s="7" t="str">
        <f t="shared" si="9"/>
        <v/>
      </c>
    </row>
    <row r="312" spans="2:13">
      <c r="B312" s="7"/>
      <c r="C312" s="7"/>
      <c r="D312" s="7"/>
      <c r="E312" s="7"/>
      <c r="F312" s="7"/>
      <c r="G312" s="7"/>
      <c r="J312" s="7"/>
      <c r="K312" s="7" t="str">
        <f t="shared" si="7"/>
        <v/>
      </c>
      <c r="L312" s="7" t="str">
        <f t="shared" si="8"/>
        <v/>
      </c>
      <c r="M312" s="7" t="str">
        <f t="shared" si="9"/>
        <v/>
      </c>
    </row>
    <row r="313" spans="2:13">
      <c r="B313" s="7"/>
      <c r="C313" s="7"/>
      <c r="D313" s="7"/>
      <c r="E313" s="7"/>
      <c r="F313" s="7"/>
      <c r="G313" s="7"/>
      <c r="J313" s="7"/>
      <c r="K313" s="7" t="str">
        <f t="shared" si="7"/>
        <v/>
      </c>
      <c r="L313" s="7" t="str">
        <f t="shared" si="8"/>
        <v/>
      </c>
      <c r="M313" s="7" t="str">
        <f t="shared" si="9"/>
        <v/>
      </c>
    </row>
    <row r="314" spans="2:13">
      <c r="B314" s="7"/>
      <c r="C314" s="7"/>
      <c r="D314" s="7"/>
      <c r="E314" s="7"/>
      <c r="F314" s="7"/>
      <c r="G314" s="7"/>
      <c r="J314" s="7"/>
      <c r="K314" s="7" t="str">
        <f t="shared" si="7"/>
        <v/>
      </c>
      <c r="L314" s="7" t="str">
        <f t="shared" si="8"/>
        <v/>
      </c>
      <c r="M314" s="7" t="str">
        <f t="shared" si="9"/>
        <v/>
      </c>
    </row>
    <row r="315" spans="2:13">
      <c r="B315" s="7"/>
      <c r="C315" s="7"/>
      <c r="D315" s="7"/>
      <c r="E315" s="7"/>
      <c r="F315" s="7"/>
      <c r="G315" s="7"/>
      <c r="J315" s="7"/>
      <c r="K315" s="7" t="str">
        <f t="shared" si="7"/>
        <v/>
      </c>
      <c r="L315" s="7" t="str">
        <f t="shared" si="8"/>
        <v/>
      </c>
      <c r="M315" s="7" t="str">
        <f t="shared" si="9"/>
        <v/>
      </c>
    </row>
    <row r="316" spans="2:13">
      <c r="B316" s="7"/>
      <c r="C316" s="7"/>
      <c r="D316" s="7"/>
      <c r="E316" s="7"/>
      <c r="F316" s="7"/>
      <c r="G316" s="7"/>
      <c r="J316" s="7"/>
      <c r="K316" s="7" t="str">
        <f t="shared" si="7"/>
        <v/>
      </c>
      <c r="L316" s="7" t="str">
        <f t="shared" si="8"/>
        <v/>
      </c>
      <c r="M316" s="7" t="str">
        <f t="shared" si="9"/>
        <v/>
      </c>
    </row>
    <row r="317" spans="2:13">
      <c r="B317" s="7"/>
      <c r="C317" s="7"/>
      <c r="D317" s="7"/>
      <c r="E317" s="7"/>
      <c r="F317" s="7"/>
      <c r="G317" s="7"/>
      <c r="J317" s="7"/>
      <c r="K317" s="7" t="str">
        <f t="shared" si="7"/>
        <v/>
      </c>
      <c r="L317" s="7" t="str">
        <f t="shared" si="8"/>
        <v/>
      </c>
      <c r="M317" s="7" t="str">
        <f t="shared" si="9"/>
        <v/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3"/>
  <dimension ref="A1:L25"/>
  <sheetViews>
    <sheetView zoomScale="70" zoomScaleNormal="70" workbookViewId="0">
      <selection activeCell="B21" sqref="B21"/>
    </sheetView>
  </sheetViews>
  <sheetFormatPr defaultRowHeight="15"/>
  <cols>
    <col min="1" max="1" width="57" bestFit="1" customWidth="1"/>
    <col min="2" max="2" width="13.140625" bestFit="1" customWidth="1"/>
    <col min="6" max="6" width="33.42578125" bestFit="1" customWidth="1"/>
    <col min="7" max="7" width="42" customWidth="1"/>
  </cols>
  <sheetData>
    <row r="1" spans="1:12">
      <c r="A1" t="s">
        <v>12</v>
      </c>
      <c r="B1" s="7">
        <f>'Ипотечный калькулятор'!C8</f>
        <v>7000000</v>
      </c>
      <c r="F1" s="1" t="s">
        <v>87</v>
      </c>
      <c r="G1" t="str">
        <f>'Ипотечный калькулятор'!C2</f>
        <v>Нет</v>
      </c>
      <c r="H1">
        <f>IF(G1="Да",B22%,0)</f>
        <v>0</v>
      </c>
    </row>
    <row r="2" spans="1:12">
      <c r="A2" t="s">
        <v>86</v>
      </c>
      <c r="B2">
        <f>'Ипотечный калькулятор'!C12</f>
        <v>240</v>
      </c>
      <c r="F2" s="1" t="str">
        <f>IF(AND(B3&gt;=15.1%,B3&lt;20.1%),"&lt;20,1%",IF(AND(B3&gt;=20.1%,B3&lt;30.1%),"&lt;30,1%",IF(B3&gt;=30.1%,"&gt;=30,1%")))</f>
        <v>&gt;=30,1%</v>
      </c>
      <c r="H2" s="2"/>
      <c r="J2" s="30"/>
      <c r="K2" s="3"/>
      <c r="L2" s="28"/>
    </row>
    <row r="3" spans="1:12">
      <c r="A3" t="s">
        <v>41</v>
      </c>
      <c r="B3" s="3">
        <f>'Ипотечный калькулятор'!C14</f>
        <v>0.41699999999999998</v>
      </c>
      <c r="G3" t="s">
        <v>570</v>
      </c>
      <c r="H3" s="2" t="e">
        <f>L3</f>
        <v>#VALUE!</v>
      </c>
      <c r="J3" s="30" t="str">
        <f>B19</f>
        <v>-</v>
      </c>
      <c r="K3" s="3" t="e">
        <f>J3+$B$22</f>
        <v>#VALUE!</v>
      </c>
      <c r="L3" s="28" t="e">
        <f>K3/100</f>
        <v>#VALUE!</v>
      </c>
    </row>
    <row r="4" spans="1:12">
      <c r="A4" t="s">
        <v>44</v>
      </c>
      <c r="B4">
        <f>'Ипотечный калькулятор'!C17</f>
        <v>0</v>
      </c>
      <c r="G4" t="s">
        <v>571</v>
      </c>
      <c r="H4" s="2">
        <f t="shared" ref="H4:H5" si="0">L4</f>
        <v>0.29699999999999999</v>
      </c>
      <c r="J4" s="30">
        <f>$B$20</f>
        <v>29.2</v>
      </c>
      <c r="K4" s="3">
        <f>J4+$B$22</f>
        <v>29.7</v>
      </c>
      <c r="L4" s="28">
        <f>K4/100</f>
        <v>0.29699999999999999</v>
      </c>
    </row>
    <row r="5" spans="1:12">
      <c r="A5" t="s">
        <v>47</v>
      </c>
      <c r="G5" t="s">
        <v>572</v>
      </c>
      <c r="H5" s="2">
        <f t="shared" si="0"/>
        <v>0.29699999999999999</v>
      </c>
      <c r="J5" s="30">
        <f>$B$21</f>
        <v>29.2</v>
      </c>
      <c r="K5" s="3">
        <f>J5+$B$22</f>
        <v>29.7</v>
      </c>
      <c r="L5" s="28">
        <f>K5/100</f>
        <v>0.29699999999999999</v>
      </c>
    </row>
    <row r="6" spans="1:12">
      <c r="A6" t="s">
        <v>48</v>
      </c>
      <c r="B6" s="28">
        <f>VLOOKUP($F$2,$G$2:$H$5,2,0)+VLOOKUP(F21,G21:H24,2,0)-$H$1-H20</f>
        <v>0.29699999999999999</v>
      </c>
      <c r="H6" s="2"/>
      <c r="J6" s="30"/>
      <c r="K6" s="3"/>
      <c r="L6" s="28"/>
    </row>
    <row r="7" spans="1:12">
      <c r="A7" t="s">
        <v>49</v>
      </c>
      <c r="B7" t="str">
        <f>'Ипотечный калькулятор'!C22</f>
        <v>Да</v>
      </c>
      <c r="H7" s="2"/>
      <c r="J7" s="30"/>
      <c r="K7" s="3"/>
      <c r="L7" s="28"/>
    </row>
    <row r="8" spans="1:12">
      <c r="A8" t="s">
        <v>50</v>
      </c>
      <c r="B8" t="str">
        <f>'Ипотечный калькулятор'!C23</f>
        <v>Да</v>
      </c>
      <c r="H8" s="2"/>
      <c r="J8" s="30"/>
      <c r="K8" s="3"/>
      <c r="L8" s="28"/>
    </row>
    <row r="9" spans="1:12">
      <c r="A9" t="s">
        <v>51</v>
      </c>
      <c r="H9" s="2"/>
      <c r="J9" s="30"/>
      <c r="K9" s="3"/>
      <c r="L9" s="28"/>
    </row>
    <row r="10" spans="1:12">
      <c r="A10" t="s">
        <v>88</v>
      </c>
      <c r="B10" s="7">
        <f>-PMT($B$6/12,$B$2,$B$1,0,0)</f>
        <v>173741.58804141436</v>
      </c>
      <c r="H10" s="2"/>
      <c r="J10" s="30"/>
      <c r="K10" s="3"/>
      <c r="L10" s="28"/>
    </row>
    <row r="11" spans="1:12">
      <c r="A11" t="s">
        <v>53</v>
      </c>
      <c r="B11" s="7">
        <f>B10*B2-B1</f>
        <v>34697981.129939444</v>
      </c>
      <c r="H11" s="2"/>
      <c r="J11" s="30"/>
      <c r="K11" s="3"/>
      <c r="L11" s="28"/>
    </row>
    <row r="12" spans="1:12">
      <c r="A12" t="s">
        <v>53</v>
      </c>
      <c r="H12" s="2"/>
      <c r="J12" s="30"/>
      <c r="K12" s="3"/>
      <c r="L12" s="28"/>
    </row>
    <row r="13" spans="1:12">
      <c r="H13" s="2"/>
      <c r="J13" s="30"/>
      <c r="K13" s="3"/>
      <c r="L13" s="28"/>
    </row>
    <row r="14" spans="1:12">
      <c r="H14" s="2"/>
      <c r="J14" s="30"/>
      <c r="K14" s="3"/>
      <c r="L14" s="28"/>
    </row>
    <row r="15" spans="1:12">
      <c r="H15" s="2"/>
      <c r="J15" s="30"/>
      <c r="K15" s="3"/>
      <c r="L15" s="28"/>
    </row>
    <row r="16" spans="1:12">
      <c r="H16" s="2"/>
      <c r="J16" s="30"/>
      <c r="K16" s="3"/>
      <c r="L16" s="28"/>
    </row>
    <row r="17" spans="1:12">
      <c r="B17" s="7"/>
      <c r="H17" s="2"/>
      <c r="J17" s="30"/>
      <c r="K17" s="3"/>
      <c r="L17" s="28"/>
    </row>
    <row r="18" spans="1:12" ht="15.75" thickBot="1">
      <c r="L18" s="4"/>
    </row>
    <row r="19" spans="1:12" ht="23.25">
      <c r="A19" s="54" t="s">
        <v>573</v>
      </c>
      <c r="B19" s="57" t="s">
        <v>80</v>
      </c>
    </row>
    <row r="20" spans="1:12" ht="23.25">
      <c r="A20" s="55" t="s">
        <v>574</v>
      </c>
      <c r="B20" s="58">
        <v>29.2</v>
      </c>
      <c r="F20" t="s">
        <v>567</v>
      </c>
      <c r="G20" t="str">
        <f>'Ипотечный калькулятор'!C7</f>
        <v>да</v>
      </c>
      <c r="H20">
        <f>IF(G20="да",0,0)</f>
        <v>0</v>
      </c>
    </row>
    <row r="21" spans="1:12" ht="23.25">
      <c r="A21" s="55" t="s">
        <v>575</v>
      </c>
      <c r="B21" s="58">
        <v>29.2</v>
      </c>
      <c r="F21" s="1" t="str">
        <f>B7&amp;B8</f>
        <v>ДаДа</v>
      </c>
      <c r="G21" t="s">
        <v>91</v>
      </c>
      <c r="H21" s="6">
        <v>0.05</v>
      </c>
    </row>
    <row r="22" spans="1:12" ht="24" thickBot="1">
      <c r="A22" s="56" t="s">
        <v>566</v>
      </c>
      <c r="B22" s="59">
        <v>0.5</v>
      </c>
      <c r="G22" t="s">
        <v>92</v>
      </c>
      <c r="H22" s="6">
        <f>$B$24%</f>
        <v>5.0000000000000001E-3</v>
      </c>
    </row>
    <row r="23" spans="1:12" ht="15.75" thickBot="1">
      <c r="G23" t="s">
        <v>93</v>
      </c>
      <c r="H23" s="6">
        <f>$B$25%</f>
        <v>5.0000000000000001E-3</v>
      </c>
    </row>
    <row r="24" spans="1:12" ht="24" thickBot="1">
      <c r="A24" s="54" t="s">
        <v>576</v>
      </c>
      <c r="B24" s="60">
        <v>0.5</v>
      </c>
      <c r="G24" t="s">
        <v>94</v>
      </c>
      <c r="H24" s="6">
        <v>0</v>
      </c>
    </row>
    <row r="25" spans="1:12" ht="24" thickBot="1">
      <c r="A25" s="56" t="s">
        <v>577</v>
      </c>
      <c r="B25" s="60">
        <v>0.5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/>
  <dimension ref="A1:L21"/>
  <sheetViews>
    <sheetView zoomScale="70" zoomScaleNormal="70" workbookViewId="0">
      <selection activeCell="B17" sqref="B17"/>
    </sheetView>
  </sheetViews>
  <sheetFormatPr defaultRowHeight="15"/>
  <cols>
    <col min="1" max="1" width="57" bestFit="1" customWidth="1"/>
    <col min="2" max="2" width="15.5703125" customWidth="1"/>
    <col min="6" max="7" width="33.42578125" bestFit="1" customWidth="1"/>
  </cols>
  <sheetData>
    <row r="1" spans="1:12">
      <c r="A1" t="s">
        <v>12</v>
      </c>
      <c r="B1">
        <f>'Ипотечный калькулятор'!C8</f>
        <v>7000000</v>
      </c>
      <c r="F1" s="1" t="s">
        <v>87</v>
      </c>
      <c r="G1" t="str">
        <f>'Ипотечный калькулятор'!C2</f>
        <v>Нет</v>
      </c>
      <c r="H1">
        <f>IF(G1="Да",B18%,0)</f>
        <v>0</v>
      </c>
      <c r="J1" t="s">
        <v>578</v>
      </c>
    </row>
    <row r="2" spans="1:12">
      <c r="A2" t="s">
        <v>86</v>
      </c>
      <c r="B2">
        <f>'Ипотечный калькулятор'!C12</f>
        <v>240</v>
      </c>
      <c r="F2" s="1" t="str">
        <f>IF(AND(B3&gt;=15.1%,B3&lt;20.1%),"ПВ от 15,1%",IF(AND(B3&gt;=20.1%,B3&lt;30.1%),"ПВ от 20,1%",IF(B3&gt;=30.1%,"ПВ от 30,1%",)))</f>
        <v>ПВ от 30,1%</v>
      </c>
      <c r="G2" t="s">
        <v>579</v>
      </c>
      <c r="H2" s="28" t="e">
        <f>L2</f>
        <v>#VALUE!</v>
      </c>
      <c r="J2" s="30" t="str">
        <f>$B$15</f>
        <v>-</v>
      </c>
      <c r="K2" s="3" t="e">
        <f>J2+$B$18</f>
        <v>#VALUE!</v>
      </c>
      <c r="L2" s="28" t="e">
        <f>K2/100</f>
        <v>#VALUE!</v>
      </c>
    </row>
    <row r="3" spans="1:12">
      <c r="A3" t="s">
        <v>41</v>
      </c>
      <c r="B3" s="4">
        <f>'Ипотечный калькулятор'!C14</f>
        <v>0.41699999999999998</v>
      </c>
      <c r="G3" t="s">
        <v>580</v>
      </c>
      <c r="H3" s="28">
        <f>L3</f>
        <v>0.29699999999999999</v>
      </c>
      <c r="J3" s="30">
        <f>$B$16</f>
        <v>29.2</v>
      </c>
      <c r="K3" s="3">
        <f>J3+$B$18</f>
        <v>29.7</v>
      </c>
      <c r="L3" s="28">
        <f t="shared" ref="L3:L4" si="0">K3/100</f>
        <v>0.29699999999999999</v>
      </c>
    </row>
    <row r="4" spans="1:12">
      <c r="A4" t="s">
        <v>44</v>
      </c>
      <c r="B4">
        <f>'Ипотечный калькулятор'!C17</f>
        <v>0</v>
      </c>
      <c r="G4" t="s">
        <v>581</v>
      </c>
      <c r="H4" s="28">
        <f>L4</f>
        <v>0.29699999999999999</v>
      </c>
      <c r="J4" s="30">
        <f>$B$17</f>
        <v>29.2</v>
      </c>
      <c r="K4" s="3">
        <f>J4+$B$18</f>
        <v>29.7</v>
      </c>
      <c r="L4" s="28">
        <f t="shared" si="0"/>
        <v>0.29699999999999999</v>
      </c>
    </row>
    <row r="5" spans="1:12">
      <c r="A5" t="s">
        <v>47</v>
      </c>
      <c r="H5" s="28"/>
      <c r="J5" s="30"/>
      <c r="K5" s="3"/>
      <c r="L5" s="28"/>
    </row>
    <row r="6" spans="1:12">
      <c r="A6" t="s">
        <v>48</v>
      </c>
      <c r="B6" s="28">
        <f>VLOOKUP($F$2,$G$2:$H$4,2,0)+VLOOKUP(F17,G17:H20,2,0)-$H$1-$H$16</f>
        <v>0.29699999999999999</v>
      </c>
      <c r="H6" s="28"/>
      <c r="J6" s="30"/>
      <c r="K6" s="3"/>
      <c r="L6" s="28"/>
    </row>
    <row r="7" spans="1:12">
      <c r="A7" t="s">
        <v>49</v>
      </c>
      <c r="B7" t="str">
        <f>'Ипотечный калькулятор'!C22</f>
        <v>Да</v>
      </c>
      <c r="H7" s="28"/>
      <c r="J7" s="30"/>
      <c r="K7" s="3"/>
      <c r="L7" s="28"/>
    </row>
    <row r="8" spans="1:12">
      <c r="A8" t="s">
        <v>50</v>
      </c>
      <c r="B8" t="str">
        <f>'Ипотечный калькулятор'!C23</f>
        <v>Да</v>
      </c>
      <c r="H8" s="28"/>
      <c r="J8" s="30"/>
      <c r="K8" s="3"/>
      <c r="L8" s="28"/>
    </row>
    <row r="9" spans="1:12">
      <c r="A9" t="s">
        <v>51</v>
      </c>
      <c r="H9" s="28"/>
      <c r="J9" s="30"/>
      <c r="K9" s="3"/>
      <c r="L9" s="28"/>
    </row>
    <row r="10" spans="1:12">
      <c r="A10" t="s">
        <v>88</v>
      </c>
      <c r="B10" s="5">
        <f>-PMT($B$6/12,$B$2,$B$1,0,0)</f>
        <v>173741.58804141436</v>
      </c>
      <c r="H10" s="28"/>
      <c r="J10" s="30"/>
      <c r="K10" s="3"/>
      <c r="L10" s="28"/>
    </row>
    <row r="11" spans="1:12">
      <c r="A11" t="s">
        <v>53</v>
      </c>
      <c r="B11" s="5">
        <f>B10*B2-B1</f>
        <v>34697981.129939444</v>
      </c>
      <c r="H11" s="28"/>
      <c r="J11" s="30"/>
      <c r="K11" s="3"/>
      <c r="L11" s="28"/>
    </row>
    <row r="12" spans="1:12">
      <c r="H12" s="28"/>
      <c r="J12" s="30"/>
      <c r="K12" s="3"/>
      <c r="L12" s="28"/>
    </row>
    <row r="13" spans="1:12">
      <c r="H13" s="28"/>
      <c r="J13" s="30"/>
      <c r="K13" s="3"/>
      <c r="L13" s="28"/>
    </row>
    <row r="14" spans="1:12" ht="15.75" thickBot="1">
      <c r="K14" s="3"/>
      <c r="L14" s="28"/>
    </row>
    <row r="15" spans="1:12" ht="24" thickBot="1">
      <c r="A15" s="54" t="s">
        <v>573</v>
      </c>
      <c r="B15" s="96" t="s">
        <v>80</v>
      </c>
      <c r="K15" s="3"/>
      <c r="L15" s="28"/>
    </row>
    <row r="16" spans="1:12" ht="24" thickBot="1">
      <c r="A16" s="55" t="s">
        <v>574</v>
      </c>
      <c r="B16" s="96">
        <v>29.2</v>
      </c>
      <c r="F16" t="s">
        <v>582</v>
      </c>
      <c r="G16" t="str">
        <f>'Ипотечный калькулятор'!C7</f>
        <v>да</v>
      </c>
      <c r="H16">
        <f>IF(G16="да",0,0)</f>
        <v>0</v>
      </c>
      <c r="K16" s="3"/>
      <c r="L16" s="28"/>
    </row>
    <row r="17" spans="1:12" ht="23.25">
      <c r="A17" s="55" t="s">
        <v>575</v>
      </c>
      <c r="B17" s="96">
        <v>29.2</v>
      </c>
      <c r="F17" s="1" t="str">
        <f>B7&amp;B8</f>
        <v>ДаДа</v>
      </c>
      <c r="G17" t="s">
        <v>91</v>
      </c>
      <c r="H17" s="6">
        <v>0.05</v>
      </c>
      <c r="K17" s="3"/>
      <c r="L17" s="28"/>
    </row>
    <row r="18" spans="1:12" ht="24" thickBot="1">
      <c r="A18" s="56" t="s">
        <v>566</v>
      </c>
      <c r="B18" s="97">
        <v>0.5</v>
      </c>
      <c r="G18" t="s">
        <v>92</v>
      </c>
      <c r="H18" s="6">
        <f>$B$20%</f>
        <v>5.0000000000000001E-3</v>
      </c>
    </row>
    <row r="19" spans="1:12" ht="15.75" thickBot="1">
      <c r="G19" t="s">
        <v>93</v>
      </c>
      <c r="H19" s="6">
        <f>$B$21%</f>
        <v>5.0000000000000001E-3</v>
      </c>
    </row>
    <row r="20" spans="1:12" ht="24" thickBot="1">
      <c r="A20" s="54" t="s">
        <v>576</v>
      </c>
      <c r="B20" s="60">
        <v>0.5</v>
      </c>
      <c r="G20" t="s">
        <v>94</v>
      </c>
      <c r="H20" s="6">
        <v>0</v>
      </c>
    </row>
    <row r="21" spans="1:12" ht="24" thickBot="1">
      <c r="A21" s="56" t="s">
        <v>577</v>
      </c>
      <c r="B21" s="60">
        <v>0.5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/>
  <dimension ref="A1:K30"/>
  <sheetViews>
    <sheetView zoomScale="70" zoomScaleNormal="70" workbookViewId="0">
      <selection activeCell="B37" sqref="B37"/>
    </sheetView>
  </sheetViews>
  <sheetFormatPr defaultRowHeight="15"/>
  <cols>
    <col min="1" max="1" width="57" bestFit="1" customWidth="1"/>
    <col min="2" max="2" width="17.7109375" bestFit="1" customWidth="1"/>
    <col min="3" max="3" width="24" bestFit="1" customWidth="1"/>
    <col min="6" max="6" width="52.5703125" bestFit="1" customWidth="1"/>
    <col min="7" max="7" width="42" customWidth="1"/>
    <col min="8" max="8" width="10.28515625" bestFit="1" customWidth="1"/>
  </cols>
  <sheetData>
    <row r="1" spans="1:11">
      <c r="A1" t="s">
        <v>12</v>
      </c>
      <c r="B1" s="7">
        <f>'Ипотечный калькулятор'!C8</f>
        <v>7000000</v>
      </c>
      <c r="F1" s="1" t="s">
        <v>87</v>
      </c>
      <c r="G1" t="str">
        <f>'Ипотечный калькулятор'!C2</f>
        <v>Нет</v>
      </c>
      <c r="H1">
        <f>IF(G1="Нет",0,B30%)</f>
        <v>0</v>
      </c>
    </row>
    <row r="2" spans="1:11">
      <c r="A2" t="s">
        <v>86</v>
      </c>
      <c r="B2">
        <f>'Ипотечный калькулятор'!C12</f>
        <v>240</v>
      </c>
      <c r="F2" s="1" t="str">
        <f>IF(AND(B3&gt;=20.1%,B3&lt;30.1%),"ПВ от 20,1%",
IF(AND(G1="Да",G12="дом",B3&lt;20.1%),"У ЗП при залоге ДОМ ПВ дожен быть больше 20,1%",
IF(AND(G1="Нет",G12="дом",B3&lt;30.1%),"У Улицы при залоге ДОМ ПВ дожен быть больше 30,1%",
IF(B3&gt;=30.1%,"ПВ от 30,1%",))))</f>
        <v>ПВ от 30,1%</v>
      </c>
      <c r="H2" s="36"/>
      <c r="J2" s="2"/>
      <c r="K2" s="36"/>
    </row>
    <row r="3" spans="1:11">
      <c r="A3" t="s">
        <v>41</v>
      </c>
      <c r="B3" s="3">
        <f>'Ипотечный калькулятор'!C14</f>
        <v>0.41699999999999998</v>
      </c>
      <c r="G3" t="s">
        <v>580</v>
      </c>
      <c r="H3" s="36">
        <f>K3</f>
        <v>0.30099999999999999</v>
      </c>
      <c r="J3" s="2">
        <f>$B$30%</f>
        <v>5.0000000000000001E-3</v>
      </c>
      <c r="K3" s="36">
        <f>J3+B28%</f>
        <v>0.30099999999999999</v>
      </c>
    </row>
    <row r="4" spans="1:11">
      <c r="A4" t="s">
        <v>44</v>
      </c>
      <c r="B4">
        <f>'Ипотечный калькулятор'!C17</f>
        <v>0</v>
      </c>
      <c r="G4" t="s">
        <v>581</v>
      </c>
      <c r="H4" s="36">
        <f t="shared" ref="H4" si="0">K4</f>
        <v>0.30099999999999999</v>
      </c>
      <c r="J4" s="2">
        <f>$B$30%</f>
        <v>5.0000000000000001E-3</v>
      </c>
      <c r="K4" s="36">
        <f>J4+B29%</f>
        <v>0.30099999999999999</v>
      </c>
    </row>
    <row r="5" spans="1:11">
      <c r="A5" t="s">
        <v>47</v>
      </c>
      <c r="H5" s="36"/>
      <c r="J5" s="2"/>
      <c r="K5" s="36"/>
    </row>
    <row r="6" spans="1:11">
      <c r="A6" t="s">
        <v>48</v>
      </c>
      <c r="B6" s="28">
        <f>IF(AND(G1="Да",B3&gt;=20.1%),VLOOKUP($F$2,$G$2:$H$4,2,0)+VLOOKUP(F14,G14:H17,2,0)-$H$1-H13+H12,IF(AND(B3&gt;=30.1%,G1="Нет"),VLOOKUP($F$2,$G$2:$H$4,2,0)+VLOOKUP(F14,G14:H17,2,0)-$H$1-H13+H12,"#Н/Д"))</f>
        <v>0.30099999999999999</v>
      </c>
      <c r="H6" s="36"/>
      <c r="J6" s="2"/>
      <c r="K6" s="36"/>
    </row>
    <row r="7" spans="1:11">
      <c r="A7" t="s">
        <v>49</v>
      </c>
      <c r="B7" t="str">
        <f>'Ипотечный калькулятор'!C22</f>
        <v>Да</v>
      </c>
      <c r="H7" s="36"/>
      <c r="J7" s="2"/>
      <c r="K7" s="36"/>
    </row>
    <row r="8" spans="1:11">
      <c r="A8" t="s">
        <v>50</v>
      </c>
      <c r="B8" t="str">
        <f>'Ипотечный калькулятор'!C23</f>
        <v>Да</v>
      </c>
      <c r="H8" s="36"/>
      <c r="J8" s="2"/>
      <c r="K8" s="36"/>
    </row>
    <row r="9" spans="1:11">
      <c r="A9" t="s">
        <v>51</v>
      </c>
      <c r="H9" s="36"/>
      <c r="J9" s="2"/>
      <c r="K9" s="36"/>
    </row>
    <row r="10" spans="1:11">
      <c r="A10" t="s">
        <v>88</v>
      </c>
      <c r="B10" s="7">
        <f>-PMT($B$6/12,$B$2,$B$1,0,0)</f>
        <v>176044.03515164313</v>
      </c>
      <c r="H10" s="36"/>
      <c r="J10" s="2"/>
      <c r="K10" s="36"/>
    </row>
    <row r="11" spans="1:11">
      <c r="A11" t="s">
        <v>53</v>
      </c>
      <c r="B11" s="7">
        <f>B10*B2-B1</f>
        <v>35250568.436394349</v>
      </c>
    </row>
    <row r="12" spans="1:11">
      <c r="A12" t="s">
        <v>53</v>
      </c>
      <c r="G12" t="str">
        <f>'Ипотечный калькулятор'!C5</f>
        <v/>
      </c>
      <c r="J12" s="4"/>
    </row>
    <row r="13" spans="1:11">
      <c r="F13" t="s">
        <v>567</v>
      </c>
      <c r="G13" t="str">
        <f>'Ипотечный калькулятор'!C7</f>
        <v>да</v>
      </c>
      <c r="H13">
        <f>IF(G13="да",0,0)</f>
        <v>0</v>
      </c>
    </row>
    <row r="14" spans="1:11">
      <c r="F14" s="1" t="str">
        <f>B7&amp;B8</f>
        <v>ДаДа</v>
      </c>
      <c r="G14" t="s">
        <v>91</v>
      </c>
      <c r="H14" s="6">
        <v>0.05</v>
      </c>
    </row>
    <row r="15" spans="1:11">
      <c r="G15" t="s">
        <v>92</v>
      </c>
      <c r="H15" s="6">
        <f>B24%</f>
        <v>5.0000000000000001E-3</v>
      </c>
    </row>
    <row r="16" spans="1:11" ht="15.75" thickBot="1">
      <c r="G16" t="s">
        <v>93</v>
      </c>
      <c r="H16" s="6">
        <f>B25%</f>
        <v>5.0000000000000001E-3</v>
      </c>
    </row>
    <row r="17" spans="1:8" ht="24" thickBot="1">
      <c r="A17" s="100"/>
      <c r="B17" s="60"/>
      <c r="G17" t="s">
        <v>94</v>
      </c>
      <c r="H17" s="6">
        <v>0</v>
      </c>
    </row>
    <row r="18" spans="1:8" ht="24" thickBot="1">
      <c r="A18" s="99" t="s">
        <v>574</v>
      </c>
      <c r="B18" s="58">
        <v>29.2</v>
      </c>
    </row>
    <row r="19" spans="1:8" ht="23.25">
      <c r="A19" s="99" t="s">
        <v>575</v>
      </c>
      <c r="B19" s="58">
        <v>29.2</v>
      </c>
      <c r="C19" s="152" t="s">
        <v>593</v>
      </c>
    </row>
    <row r="20" spans="1:8" ht="24" thickBot="1">
      <c r="A20" s="101" t="s">
        <v>566</v>
      </c>
      <c r="B20" s="59">
        <v>0.5</v>
      </c>
      <c r="C20" s="153"/>
    </row>
    <row r="21" spans="1:8" ht="15.75" thickBot="1"/>
    <row r="22" spans="1:8" ht="24" thickBot="1">
      <c r="A22" s="61" t="s">
        <v>594</v>
      </c>
      <c r="B22" s="60">
        <v>0.4</v>
      </c>
    </row>
    <row r="23" spans="1:8" ht="15.75" thickBot="1"/>
    <row r="24" spans="1:8" ht="24" thickBot="1">
      <c r="A24" s="54" t="s">
        <v>576</v>
      </c>
      <c r="B24" s="60">
        <v>0.5</v>
      </c>
    </row>
    <row r="25" spans="1:8" ht="24" thickBot="1">
      <c r="A25" s="56" t="s">
        <v>577</v>
      </c>
      <c r="B25" s="60">
        <v>0.5</v>
      </c>
    </row>
    <row r="26" spans="1:8" ht="24" thickBot="1">
      <c r="A26" s="95"/>
      <c r="B26" s="60"/>
    </row>
    <row r="27" spans="1:8" ht="24" thickBot="1">
      <c r="A27" s="54"/>
      <c r="B27" s="98"/>
    </row>
    <row r="28" spans="1:8" ht="24" thickBot="1">
      <c r="A28" s="55" t="s">
        <v>574</v>
      </c>
      <c r="B28" s="98">
        <f>B18+B22</f>
        <v>29.599999999999998</v>
      </c>
    </row>
    <row r="29" spans="1:8" ht="24" thickBot="1">
      <c r="A29" s="55" t="s">
        <v>575</v>
      </c>
      <c r="B29" s="98">
        <f>B19+B22</f>
        <v>29.599999999999998</v>
      </c>
    </row>
    <row r="30" spans="1:8" ht="24" thickBot="1">
      <c r="A30" s="56" t="s">
        <v>566</v>
      </c>
      <c r="B30" s="98">
        <f>B20</f>
        <v>0.5</v>
      </c>
    </row>
  </sheetData>
  <mergeCells count="1">
    <mergeCell ref="C19:C2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9"/>
  <dimension ref="A1:L27"/>
  <sheetViews>
    <sheetView zoomScale="70" zoomScaleNormal="70" workbookViewId="0">
      <selection activeCell="B24" sqref="B24"/>
    </sheetView>
  </sheetViews>
  <sheetFormatPr defaultRowHeight="15"/>
  <cols>
    <col min="1" max="1" width="57" bestFit="1" customWidth="1"/>
    <col min="2" max="2" width="17.5703125" customWidth="1"/>
    <col min="6" max="6" width="57.7109375" customWidth="1"/>
    <col min="7" max="7" width="48.28515625" customWidth="1"/>
  </cols>
  <sheetData>
    <row r="1" spans="1:12">
      <c r="A1" t="s">
        <v>595</v>
      </c>
      <c r="B1" t="str">
        <f>'Ипотечный калькулятор'!C5</f>
        <v/>
      </c>
      <c r="F1" t="s">
        <v>596</v>
      </c>
      <c r="G1" t="str">
        <f>IF(G2="Ипотека в МТС Банк","да","нет")</f>
        <v>нет</v>
      </c>
    </row>
    <row r="2" spans="1:12">
      <c r="A2" t="s">
        <v>12</v>
      </c>
      <c r="B2" s="7">
        <f>VLOOKUP("Сумма кредита",'Ипотечный калькулятор'!$B$8:$C$10,2,FALSE)</f>
        <v>7000000</v>
      </c>
      <c r="F2" s="1" t="s">
        <v>597</v>
      </c>
      <c r="G2" t="str">
        <f>'Ипотечный калькулятор'!C5</f>
        <v/>
      </c>
      <c r="H2" s="29">
        <v>0</v>
      </c>
    </row>
    <row r="3" spans="1:12">
      <c r="A3" t="s">
        <v>86</v>
      </c>
      <c r="B3">
        <f>'Ипотечный калькулятор'!C12</f>
        <v>240</v>
      </c>
      <c r="F3" s="1" t="s">
        <v>87</v>
      </c>
      <c r="G3" t="str">
        <f>'Ипотечный калькулятор'!C2</f>
        <v>Нет</v>
      </c>
      <c r="H3" s="30">
        <f>IF(G3="Да",B24%,0)</f>
        <v>0</v>
      </c>
      <c r="J3" t="s">
        <v>578</v>
      </c>
    </row>
    <row r="4" spans="1:12">
      <c r="A4" t="s">
        <v>585</v>
      </c>
      <c r="B4" s="3">
        <f>1-'Ипотечный калькулятор'!C14</f>
        <v>0.58299999999999996</v>
      </c>
      <c r="F4" s="1" t="str">
        <f>IF(AND(B4&gt;=70%,B4&lt;=79.9%),"&gt;=70%, &lt;=79,9%",IF(B4&lt;70%,"&lt;70%"))</f>
        <v>&lt;70%</v>
      </c>
      <c r="G4" t="s">
        <v>598</v>
      </c>
      <c r="H4" s="2">
        <f>L4+$H$26%</f>
        <v>0.29699999999999999</v>
      </c>
      <c r="J4" s="30">
        <f>$B$22</f>
        <v>29.2</v>
      </c>
      <c r="K4" s="3">
        <f>J4+$B$24</f>
        <v>29.7</v>
      </c>
      <c r="L4" s="28">
        <f>K4/100</f>
        <v>0.29699999999999999</v>
      </c>
    </row>
    <row r="5" spans="1:12">
      <c r="A5" t="s">
        <v>39</v>
      </c>
      <c r="B5" s="7">
        <f>'Ипотечный калькулятор'!C11</f>
        <v>12000000</v>
      </c>
      <c r="G5" t="s">
        <v>599</v>
      </c>
      <c r="H5" s="2">
        <f t="shared" ref="H5" si="0">L5+$H$26%</f>
        <v>0.29699999999999999</v>
      </c>
      <c r="J5" s="30">
        <f>$B$21</f>
        <v>29.2</v>
      </c>
      <c r="K5" s="3">
        <f>J5+$B$24</f>
        <v>29.7</v>
      </c>
      <c r="L5" s="28">
        <f t="shared" ref="L5" si="1">K5/100</f>
        <v>0.29699999999999999</v>
      </c>
    </row>
    <row r="6" spans="1:12">
      <c r="A6" t="s">
        <v>44</v>
      </c>
      <c r="B6">
        <f>'Ипотечный калькулятор'!C17</f>
        <v>0</v>
      </c>
      <c r="H6" s="2"/>
      <c r="J6" s="30"/>
      <c r="K6" s="3"/>
      <c r="L6" s="28"/>
    </row>
    <row r="7" spans="1:12">
      <c r="A7" t="s">
        <v>47</v>
      </c>
      <c r="H7" s="2"/>
      <c r="J7" s="30"/>
      <c r="K7" s="3"/>
      <c r="L7" s="28"/>
    </row>
    <row r="8" spans="1:12">
      <c r="A8" t="s">
        <v>48</v>
      </c>
      <c r="B8" s="28">
        <f>IF(AND(G1="да",G3="Да",B4&gt;=0.2),($B$23+$H$26)%,IF(AND(G1="да",G3="Нет",B4&gt;=0.3),($B$23+$B$24+$H$26)%,IF(OR(AND(B4&gt;=0.3,G3="Нет"),AND(B4&gt;=0.2,G3="Да")),VLOOKUP($F$4,$G$4:$H$5,2,0)+VLOOKUP(F22,G22:H25,2,0)-$H$3,"#ЗНАЧ!")))</f>
        <v>0.29699999999999999</v>
      </c>
      <c r="H8" s="2"/>
      <c r="J8" s="30"/>
      <c r="K8" s="3"/>
      <c r="L8" s="28"/>
    </row>
    <row r="9" spans="1:12">
      <c r="A9" t="s">
        <v>49</v>
      </c>
      <c r="B9" t="str">
        <f>'Ипотечный калькулятор'!C22</f>
        <v>Да</v>
      </c>
      <c r="H9" s="2"/>
      <c r="J9" s="30"/>
      <c r="K9" s="3"/>
      <c r="L9" s="28"/>
    </row>
    <row r="10" spans="1:12">
      <c r="A10" t="s">
        <v>50</v>
      </c>
      <c r="B10" t="str">
        <f>'Ипотечный калькулятор'!C23</f>
        <v>Да</v>
      </c>
      <c r="H10" s="2"/>
      <c r="J10" s="30"/>
      <c r="K10" s="3"/>
      <c r="L10" s="28"/>
    </row>
    <row r="11" spans="1:12">
      <c r="A11" t="s">
        <v>51</v>
      </c>
      <c r="H11" s="2"/>
      <c r="J11" s="30"/>
      <c r="K11" s="3"/>
      <c r="L11" s="28"/>
    </row>
    <row r="12" spans="1:12">
      <c r="A12" t="s">
        <v>88</v>
      </c>
      <c r="B12" s="5">
        <f>-PMT($B$8/12,$B$3,$B$2,0,0)</f>
        <v>173741.58804141436</v>
      </c>
      <c r="H12" s="2"/>
      <c r="J12" s="30"/>
      <c r="K12" s="3"/>
      <c r="L12" s="28"/>
    </row>
    <row r="13" spans="1:12">
      <c r="A13" t="s">
        <v>53</v>
      </c>
      <c r="B13" s="5">
        <f>B12*B3-B2</f>
        <v>34697981.129939444</v>
      </c>
      <c r="H13" s="2"/>
      <c r="J13" s="30"/>
      <c r="K13" s="3"/>
      <c r="L13" s="28"/>
    </row>
    <row r="14" spans="1:12">
      <c r="H14" s="2"/>
      <c r="J14" s="30"/>
      <c r="K14" s="3"/>
      <c r="L14" s="28"/>
    </row>
    <row r="15" spans="1:12">
      <c r="H15" s="2"/>
      <c r="J15" s="30"/>
      <c r="K15" s="3"/>
      <c r="L15" s="28"/>
    </row>
    <row r="20" spans="1:8" ht="15.75" thickBot="1"/>
    <row r="21" spans="1:8" ht="23.25">
      <c r="A21" s="54" t="s">
        <v>600</v>
      </c>
      <c r="B21" s="58">
        <v>29.2</v>
      </c>
    </row>
    <row r="22" spans="1:8" ht="23.25">
      <c r="A22" s="55" t="s">
        <v>601</v>
      </c>
      <c r="B22" s="58">
        <v>29.2</v>
      </c>
      <c r="F22" s="1" t="str">
        <f>B9&amp;B10</f>
        <v>ДаДа</v>
      </c>
      <c r="G22" t="s">
        <v>91</v>
      </c>
      <c r="H22" s="6">
        <v>0.05</v>
      </c>
    </row>
    <row r="23" spans="1:8" ht="23.25">
      <c r="A23" s="55" t="s">
        <v>602</v>
      </c>
      <c r="B23" s="58">
        <v>29.1</v>
      </c>
      <c r="G23" t="s">
        <v>92</v>
      </c>
      <c r="H23" s="6">
        <f>$B$26%</f>
        <v>5.0000000000000001E-3</v>
      </c>
    </row>
    <row r="24" spans="1:8" ht="24" thickBot="1">
      <c r="A24" s="56" t="s">
        <v>566</v>
      </c>
      <c r="B24" s="59">
        <v>0.5</v>
      </c>
      <c r="G24" t="s">
        <v>93</v>
      </c>
      <c r="H24" s="6">
        <f>$B$27%</f>
        <v>5.0000000000000001E-3</v>
      </c>
    </row>
    <row r="25" spans="1:8" ht="15.75" thickBot="1">
      <c r="G25" t="s">
        <v>94</v>
      </c>
      <c r="H25" s="6">
        <v>0</v>
      </c>
    </row>
    <row r="26" spans="1:8" ht="24" thickBot="1">
      <c r="A26" s="54" t="s">
        <v>576</v>
      </c>
      <c r="B26" s="60">
        <v>0.5</v>
      </c>
      <c r="F26" s="1" t="s">
        <v>603</v>
      </c>
      <c r="G26" t="str">
        <f>'Ипотечный калькулятор'!C6</f>
        <v>Квартира</v>
      </c>
      <c r="H26" s="30">
        <f>IF(G26="Дом",0.5,0)</f>
        <v>0</v>
      </c>
    </row>
    <row r="27" spans="1:8" ht="24" thickBot="1">
      <c r="A27" s="56" t="s">
        <v>577</v>
      </c>
      <c r="B27" s="60">
        <v>0.5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1"/>
  <dimension ref="A1:M28"/>
  <sheetViews>
    <sheetView zoomScale="85" zoomScaleNormal="85" workbookViewId="0">
      <selection activeCell="B20" sqref="B20"/>
    </sheetView>
  </sheetViews>
  <sheetFormatPr defaultRowHeight="15"/>
  <cols>
    <col min="1" max="1" width="57" bestFit="1" customWidth="1"/>
    <col min="2" max="2" width="14.140625" bestFit="1" customWidth="1"/>
    <col min="3" max="3" width="22.42578125" bestFit="1" customWidth="1"/>
    <col min="6" max="6" width="43.85546875" customWidth="1"/>
    <col min="7" max="7" width="55.85546875" customWidth="1"/>
  </cols>
  <sheetData>
    <row r="1" spans="1:13">
      <c r="A1" t="s">
        <v>595</v>
      </c>
      <c r="B1" t="str">
        <f>'Ипотечный калькулятор'!C5</f>
        <v/>
      </c>
      <c r="F1" t="s">
        <v>596</v>
      </c>
      <c r="G1" t="str">
        <f>IF(G2&lt;&gt;"","да","нет")</f>
        <v>нет</v>
      </c>
    </row>
    <row r="2" spans="1:13">
      <c r="A2" t="s">
        <v>12</v>
      </c>
      <c r="B2" s="89">
        <f>VLOOKUP("Сумма кредита",'Ипотечный калькулятор'!$B$8:$C$10,2,FALSE)</f>
        <v>7000000</v>
      </c>
      <c r="F2" s="1" t="s">
        <v>597</v>
      </c>
      <c r="G2" t="str">
        <f>'Ипотечный калькулятор'!C5</f>
        <v/>
      </c>
      <c r="H2" s="29">
        <v>0</v>
      </c>
    </row>
    <row r="3" spans="1:13">
      <c r="A3" t="s">
        <v>86</v>
      </c>
      <c r="B3">
        <f>'Ипотечный калькулятор'!C12</f>
        <v>240</v>
      </c>
      <c r="F3" s="1" t="s">
        <v>87</v>
      </c>
      <c r="G3" t="str">
        <f>'Ипотечный калькулятор'!C2</f>
        <v>Нет</v>
      </c>
      <c r="H3">
        <f>IF(G3="Да",B28%,0)</f>
        <v>0</v>
      </c>
    </row>
    <row r="4" spans="1:13">
      <c r="A4" t="s">
        <v>585</v>
      </c>
      <c r="B4" s="3">
        <f>1-'Ипотечный калькулятор'!C14</f>
        <v>0.58299999999999996</v>
      </c>
      <c r="F4" s="1" t="str">
        <f>IF(AND(B4&gt;=70%,B4&lt;=79.9%),"&gt;=70%, &lt;=79,9%",IF(B4&lt;70%,"&lt;70%"))</f>
        <v>&lt;70%</v>
      </c>
      <c r="G4" t="s">
        <v>598</v>
      </c>
      <c r="H4" s="2">
        <f>M4+$H$22%</f>
        <v>0.30099999999999999</v>
      </c>
      <c r="J4" s="30">
        <f>$B$26</f>
        <v>29.599999999999998</v>
      </c>
      <c r="K4" s="3">
        <f>J4+$B$28</f>
        <v>30.099999999999998</v>
      </c>
      <c r="L4" s="35">
        <f>K4</f>
        <v>30.099999999999998</v>
      </c>
      <c r="M4" s="28">
        <f>L4/100</f>
        <v>0.30099999999999999</v>
      </c>
    </row>
    <row r="5" spans="1:13">
      <c r="A5" t="s">
        <v>44</v>
      </c>
      <c r="B5">
        <f>'Ипотечный калькулятор'!C17</f>
        <v>0</v>
      </c>
      <c r="G5" t="s">
        <v>599</v>
      </c>
      <c r="H5" s="2">
        <f t="shared" ref="H5" si="0">M5+$H$22%</f>
        <v>0.30099999999999999</v>
      </c>
      <c r="J5" s="30">
        <f>$B$26</f>
        <v>29.599999999999998</v>
      </c>
      <c r="K5" s="3">
        <f t="shared" ref="K5" si="1">J5+$B$28</f>
        <v>30.099999999999998</v>
      </c>
      <c r="L5" s="35">
        <f>K5</f>
        <v>30.099999999999998</v>
      </c>
      <c r="M5" s="28">
        <f t="shared" ref="M5" si="2">L5/100</f>
        <v>0.30099999999999999</v>
      </c>
    </row>
    <row r="6" spans="1:13">
      <c r="A6" t="s">
        <v>47</v>
      </c>
      <c r="H6" s="2"/>
      <c r="J6" s="30"/>
      <c r="K6" s="3"/>
      <c r="L6" s="35"/>
      <c r="M6" s="28"/>
    </row>
    <row r="7" spans="1:13">
      <c r="A7" t="s">
        <v>48</v>
      </c>
      <c r="B7" s="28">
        <f>IF(AND(IF(AND(AND(G1="да",G3="Да",B4&gt;=20%,'Данные калькулятора'!B33&lt;0.5),G2="Ипотека в МТС Банк"),(B27+H22)%,IF(AND(AND(G1="да",G3="Нет",B4&gt;=20%,'Данные калькулятора'!B33&lt;0.5),G2="Ипотека в МТС Банк"),(B27+B28+H22)%,IF('Данные калькулятора'!B33&lt;0.5,VLOOKUP($F$4,$G$4:$H$5,2,0)+VLOOKUP(F18,G18:H21,2,0)-$H$3,"#ЗНАЧ!"))),'Данные калькулятора'!B32&lt;=0.8),IF(AND(AND(G1="да",G3="Да",B4&gt;=20%,'Данные калькулятора'!B33&lt;0.5),G2="Ипотека в МТС Банк"),(B27+H22)%,IF(AND(AND(G1="да",G3="Нет",B4&gt;=20%,'Данные калькулятора'!B33&lt;0.5),G2="Ипотека в МТС Банк"),(B27+B28+H22)%,IF('Данные калькулятора'!B33&lt;0.5,VLOOKUP($F$4,$G$4:$H$5,2,0)+VLOOKUP(F18,G18:H21,2,0)-$H$3,"#ЗНАЧ!"))),"#ЗНАЧ!")</f>
        <v>0.30099999999999999</v>
      </c>
      <c r="H7" s="2"/>
      <c r="J7" s="30"/>
      <c r="K7" s="3"/>
      <c r="L7" s="35"/>
      <c r="M7" s="28"/>
    </row>
    <row r="8" spans="1:13">
      <c r="A8" t="s">
        <v>49</v>
      </c>
      <c r="B8" t="str">
        <f>'Ипотечный калькулятор'!C22</f>
        <v>Да</v>
      </c>
      <c r="H8" s="2"/>
      <c r="J8" s="30"/>
      <c r="K8" s="3"/>
      <c r="L8" s="35"/>
      <c r="M8" s="28"/>
    </row>
    <row r="9" spans="1:13">
      <c r="A9" t="s">
        <v>50</v>
      </c>
      <c r="B9" t="str">
        <f>'Ипотечный калькулятор'!C23</f>
        <v>Да</v>
      </c>
      <c r="H9" s="2"/>
      <c r="J9" s="30"/>
      <c r="K9" s="3"/>
      <c r="L9" s="35"/>
      <c r="M9" s="28"/>
    </row>
    <row r="10" spans="1:13">
      <c r="A10" t="s">
        <v>51</v>
      </c>
      <c r="H10" s="2"/>
      <c r="J10" s="30"/>
      <c r="K10" s="3"/>
      <c r="L10" s="35"/>
      <c r="M10" s="28"/>
    </row>
    <row r="11" spans="1:13">
      <c r="A11" t="s">
        <v>88</v>
      </c>
      <c r="B11" s="5">
        <f>-PMT($B$7/12,$B$3,$B$2,0,0)</f>
        <v>176044.03515164313</v>
      </c>
      <c r="H11" s="2"/>
      <c r="J11" s="30"/>
      <c r="K11" s="3"/>
      <c r="L11" s="35"/>
      <c r="M11" s="28"/>
    </row>
    <row r="12" spans="1:13">
      <c r="A12" t="s">
        <v>53</v>
      </c>
      <c r="B12" s="5">
        <f>B11*B3-B2</f>
        <v>35250568.436394349</v>
      </c>
      <c r="H12" s="2"/>
      <c r="J12" s="30"/>
      <c r="K12" s="3"/>
      <c r="L12" s="35"/>
      <c r="M12" s="28"/>
    </row>
    <row r="13" spans="1:13">
      <c r="H13" s="2"/>
      <c r="J13" s="30"/>
      <c r="K13" s="3"/>
      <c r="L13" s="35"/>
      <c r="M13" s="28"/>
    </row>
    <row r="14" spans="1:13" ht="15.75" thickBot="1">
      <c r="H14" s="2"/>
      <c r="J14" s="30"/>
      <c r="K14" s="3"/>
      <c r="L14" s="35"/>
      <c r="M14" s="28"/>
    </row>
    <row r="15" spans="1:13" ht="24" thickBot="1">
      <c r="A15" s="61" t="s">
        <v>594</v>
      </c>
      <c r="B15" s="60">
        <v>0.4</v>
      </c>
      <c r="H15" s="2"/>
      <c r="J15" s="30"/>
      <c r="K15" s="3"/>
      <c r="L15" s="35"/>
      <c r="M15" s="28"/>
    </row>
    <row r="16" spans="1:13" ht="15.75" thickBot="1"/>
    <row r="17" spans="1:8" ht="24" thickBot="1">
      <c r="A17" s="62" t="s">
        <v>600</v>
      </c>
      <c r="B17" s="57">
        <v>29.2</v>
      </c>
      <c r="C17" s="154" t="s">
        <v>604</v>
      </c>
    </row>
    <row r="18" spans="1:8" ht="23.25">
      <c r="A18" s="63" t="s">
        <v>601</v>
      </c>
      <c r="B18" s="57">
        <v>29.2</v>
      </c>
      <c r="C18" s="155"/>
      <c r="F18" s="1" t="str">
        <f>B8&amp;B9</f>
        <v>ДаДа</v>
      </c>
      <c r="G18" t="s">
        <v>91</v>
      </c>
      <c r="H18" s="6">
        <v>0.05</v>
      </c>
    </row>
    <row r="19" spans="1:8" ht="23.25">
      <c r="A19" s="63" t="s">
        <v>602</v>
      </c>
      <c r="B19" s="58">
        <v>29.1</v>
      </c>
      <c r="C19" s="155"/>
      <c r="G19" t="s">
        <v>92</v>
      </c>
      <c r="H19" s="6">
        <f>$B$22%</f>
        <v>5.0000000000000001E-3</v>
      </c>
    </row>
    <row r="20" spans="1:8" ht="24" thickBot="1">
      <c r="A20" s="64" t="s">
        <v>566</v>
      </c>
      <c r="B20" s="59">
        <v>0.5</v>
      </c>
      <c r="C20" s="156"/>
      <c r="G20" t="s">
        <v>93</v>
      </c>
      <c r="H20" s="6">
        <f>$B$23%</f>
        <v>5.0000000000000001E-3</v>
      </c>
    </row>
    <row r="21" spans="1:8" ht="15.75" thickBot="1">
      <c r="G21" t="s">
        <v>94</v>
      </c>
      <c r="H21" s="6">
        <v>0</v>
      </c>
    </row>
    <row r="22" spans="1:8" ht="24" thickBot="1">
      <c r="A22" s="54" t="s">
        <v>576</v>
      </c>
      <c r="B22" s="60">
        <v>0.5</v>
      </c>
      <c r="F22" s="1" t="s">
        <v>603</v>
      </c>
      <c r="G22" t="str">
        <f>'Ипотечный калькулятор'!C6</f>
        <v>Квартира</v>
      </c>
      <c r="H22" s="30">
        <f>IF(G22="Дом",0.5,0)</f>
        <v>0</v>
      </c>
    </row>
    <row r="23" spans="1:8" ht="24" thickBot="1">
      <c r="A23" s="56" t="s">
        <v>577</v>
      </c>
      <c r="B23" s="60">
        <v>0.5</v>
      </c>
    </row>
    <row r="24" spans="1:8" ht="15.75" thickBot="1"/>
    <row r="25" spans="1:8" ht="23.25">
      <c r="A25" s="54" t="s">
        <v>588</v>
      </c>
      <c r="B25" s="57">
        <f>B17+B15</f>
        <v>29.599999999999998</v>
      </c>
    </row>
    <row r="26" spans="1:8" ht="23.25">
      <c r="A26" s="55" t="s">
        <v>590</v>
      </c>
      <c r="B26" s="58">
        <f>B18+B15</f>
        <v>29.599999999999998</v>
      </c>
    </row>
    <row r="27" spans="1:8" ht="23.25">
      <c r="A27" s="55" t="s">
        <v>602</v>
      </c>
      <c r="B27" s="58">
        <f>B19+B15</f>
        <v>29.5</v>
      </c>
    </row>
    <row r="28" spans="1:8" ht="24" thickBot="1">
      <c r="A28" s="56" t="s">
        <v>566</v>
      </c>
      <c r="B28" s="59">
        <f>B20</f>
        <v>0.5</v>
      </c>
    </row>
  </sheetData>
  <mergeCells count="1">
    <mergeCell ref="C17:C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6"/>
  <dimension ref="A1:L22"/>
  <sheetViews>
    <sheetView workbookViewId="0">
      <selection activeCell="B17" sqref="B17"/>
    </sheetView>
  </sheetViews>
  <sheetFormatPr defaultRowHeight="15"/>
  <cols>
    <col min="1" max="1" width="57" bestFit="1" customWidth="1"/>
    <col min="2" max="2" width="15.5703125" customWidth="1"/>
    <col min="6" max="7" width="33.42578125" bestFit="1" customWidth="1"/>
  </cols>
  <sheetData>
    <row r="1" spans="1:12">
      <c r="A1" t="s">
        <v>12</v>
      </c>
      <c r="B1">
        <f>'Ипотечный калькулятор'!C8</f>
        <v>7000000</v>
      </c>
      <c r="F1" s="1" t="s">
        <v>87</v>
      </c>
      <c r="G1" t="str">
        <f>'Ипотечный калькулятор'!C2</f>
        <v>Нет</v>
      </c>
      <c r="H1">
        <f>IF(G1="Да",B18%,0)</f>
        <v>0</v>
      </c>
      <c r="J1" t="s">
        <v>578</v>
      </c>
    </row>
    <row r="2" spans="1:12">
      <c r="A2" t="s">
        <v>86</v>
      </c>
      <c r="B2">
        <f>'Ипотечный калькулятор'!C12</f>
        <v>240</v>
      </c>
      <c r="F2" s="1" t="str">
        <f>IF(AND(B3&gt;=20.1%,B3&lt;30.1%),"ПВ от 20,1%",IF(B3&gt;=30.1%,"ПВ от 30,1%",))</f>
        <v>ПВ от 30,1%</v>
      </c>
      <c r="G2" t="s">
        <v>580</v>
      </c>
      <c r="H2" s="28">
        <f>L2</f>
        <v>0.30099999999999999</v>
      </c>
      <c r="J2" s="30">
        <f>$B$16+$I$22*100</f>
        <v>29.6</v>
      </c>
      <c r="K2" s="3">
        <f>J2+$B$18</f>
        <v>30.1</v>
      </c>
      <c r="L2" s="28">
        <f>K2/100</f>
        <v>0.30099999999999999</v>
      </c>
    </row>
    <row r="3" spans="1:12">
      <c r="A3" t="s">
        <v>41</v>
      </c>
      <c r="B3" s="4">
        <f>'Ипотечный калькулятор'!C14</f>
        <v>0.41699999999999998</v>
      </c>
      <c r="G3" t="s">
        <v>581</v>
      </c>
      <c r="H3" s="28">
        <f>L3</f>
        <v>0.30099999999999999</v>
      </c>
      <c r="J3" s="30">
        <f>$B$17+$I$22*100</f>
        <v>29.6</v>
      </c>
      <c r="K3" s="3">
        <f>J3+$B$18</f>
        <v>30.1</v>
      </c>
      <c r="L3" s="28">
        <f>K3/100</f>
        <v>0.30099999999999999</v>
      </c>
    </row>
    <row r="4" spans="1:12">
      <c r="A4" t="s">
        <v>44</v>
      </c>
      <c r="B4">
        <f>'Ипотечный калькулятор'!C17</f>
        <v>0</v>
      </c>
      <c r="H4" s="28"/>
      <c r="J4" s="30"/>
      <c r="K4" s="3"/>
      <c r="L4" s="28"/>
    </row>
    <row r="5" spans="1:12">
      <c r="A5" t="s">
        <v>47</v>
      </c>
      <c r="H5" s="28"/>
      <c r="J5" s="30"/>
      <c r="K5" s="3"/>
      <c r="L5" s="28"/>
    </row>
    <row r="6" spans="1:12">
      <c r="A6" t="s">
        <v>48</v>
      </c>
      <c r="B6" s="28">
        <f>VLOOKUP($F$2,$G$2:$H$3,2,0)+VLOOKUP(F17,G17:H20,2,0)-$H$1-$H$16</f>
        <v>0.30099999999999999</v>
      </c>
      <c r="H6" s="28"/>
      <c r="J6" s="30"/>
      <c r="K6" s="3"/>
      <c r="L6" s="28"/>
    </row>
    <row r="7" spans="1:12">
      <c r="A7" t="s">
        <v>49</v>
      </c>
      <c r="B7" t="str">
        <f>'Ипотечный калькулятор'!C22</f>
        <v>Да</v>
      </c>
      <c r="H7" s="28"/>
      <c r="J7" s="30"/>
      <c r="K7" s="3"/>
      <c r="L7" s="28"/>
    </row>
    <row r="8" spans="1:12">
      <c r="A8" t="s">
        <v>50</v>
      </c>
      <c r="B8" t="str">
        <f>'Ипотечный калькулятор'!C23</f>
        <v>Да</v>
      </c>
      <c r="H8" s="28"/>
      <c r="J8" s="30"/>
      <c r="K8" s="3"/>
      <c r="L8" s="28"/>
    </row>
    <row r="9" spans="1:12">
      <c r="A9" t="s">
        <v>51</v>
      </c>
      <c r="H9" s="28"/>
      <c r="J9" s="30"/>
      <c r="K9" s="3"/>
      <c r="L9" s="28"/>
    </row>
    <row r="10" spans="1:12">
      <c r="A10" t="s">
        <v>88</v>
      </c>
      <c r="B10" s="5">
        <f>-PMT($B$6/12,$B$2,$B$1,0,0)</f>
        <v>176044.03515164313</v>
      </c>
      <c r="H10" s="28"/>
      <c r="J10" s="30"/>
      <c r="K10" s="3"/>
      <c r="L10" s="28"/>
    </row>
    <row r="11" spans="1:12">
      <c r="A11" t="s">
        <v>53</v>
      </c>
      <c r="B11" s="5">
        <f>B10*B2-B1</f>
        <v>35250568.436394349</v>
      </c>
      <c r="H11" s="28"/>
      <c r="J11" s="30"/>
      <c r="K11" s="3"/>
      <c r="L11" s="28"/>
    </row>
    <row r="12" spans="1:12">
      <c r="H12" s="28"/>
      <c r="J12" s="30"/>
      <c r="K12" s="3"/>
      <c r="L12" s="28"/>
    </row>
    <row r="13" spans="1:12">
      <c r="H13" s="28"/>
      <c r="J13" s="30"/>
      <c r="K13" s="3"/>
      <c r="L13" s="28"/>
    </row>
    <row r="14" spans="1:12">
      <c r="K14" s="3"/>
      <c r="L14" s="28"/>
    </row>
    <row r="15" spans="1:12" ht="15.75" thickBot="1">
      <c r="K15" s="3"/>
      <c r="L15" s="28"/>
    </row>
    <row r="16" spans="1:12" ht="24" thickBot="1">
      <c r="A16" s="54" t="s">
        <v>574</v>
      </c>
      <c r="B16" s="57">
        <v>29.6</v>
      </c>
      <c r="F16" t="s">
        <v>582</v>
      </c>
      <c r="G16" t="str">
        <f>'Ипотечный калькулятор'!C7</f>
        <v>да</v>
      </c>
      <c r="H16">
        <f>IF(G16="да",0,0)</f>
        <v>0</v>
      </c>
      <c r="K16" s="3"/>
      <c r="L16" s="28"/>
    </row>
    <row r="17" spans="1:12" ht="23.25">
      <c r="A17" s="54" t="s">
        <v>575</v>
      </c>
      <c r="B17" s="57">
        <v>29.6</v>
      </c>
      <c r="F17" s="1" t="str">
        <f>B7&amp;B8</f>
        <v>ДаДа</v>
      </c>
      <c r="G17" t="s">
        <v>91</v>
      </c>
      <c r="H17" s="6">
        <v>0.05</v>
      </c>
      <c r="K17" s="3"/>
      <c r="L17" s="28"/>
    </row>
    <row r="18" spans="1:12" ht="24" thickBot="1">
      <c r="A18" s="56" t="s">
        <v>566</v>
      </c>
      <c r="B18" s="59">
        <v>0.5</v>
      </c>
      <c r="G18" t="s">
        <v>92</v>
      </c>
      <c r="H18" s="6">
        <f>$B$20%</f>
        <v>5.0000000000000001E-3</v>
      </c>
    </row>
    <row r="19" spans="1:12" ht="15.75" thickBot="1">
      <c r="G19" t="s">
        <v>93</v>
      </c>
      <c r="H19" s="6">
        <f>$B$21%</f>
        <v>5.0000000000000001E-3</v>
      </c>
    </row>
    <row r="20" spans="1:12" ht="24" thickBot="1">
      <c r="A20" s="54" t="s">
        <v>576</v>
      </c>
      <c r="B20" s="60">
        <v>0.5</v>
      </c>
      <c r="G20" t="s">
        <v>94</v>
      </c>
      <c r="H20" s="6">
        <v>0</v>
      </c>
    </row>
    <row r="21" spans="1:12" ht="24" thickBot="1">
      <c r="A21" s="56" t="s">
        <v>577</v>
      </c>
      <c r="B21" s="60">
        <v>0.5</v>
      </c>
    </row>
    <row r="22" spans="1:12">
      <c r="F22" t="s">
        <v>583</v>
      </c>
      <c r="G22" t="str">
        <f>'Ипотечный калькулятор'!C3&amp;G1</f>
        <v>НетНет</v>
      </c>
      <c r="H22" s="2">
        <v>5.0000000000000001E-3</v>
      </c>
      <c r="I22">
        <f>IF(G22="ДаНет",H22,0)</f>
        <v>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4"/>
  <dimension ref="A1:M26"/>
  <sheetViews>
    <sheetView zoomScale="70" zoomScaleNormal="70" workbookViewId="0">
      <selection activeCell="B17" sqref="B17"/>
    </sheetView>
  </sheetViews>
  <sheetFormatPr defaultRowHeight="15"/>
  <cols>
    <col min="1" max="1" width="57" bestFit="1" customWidth="1"/>
    <col min="2" max="2" width="13.140625" bestFit="1" customWidth="1"/>
    <col min="5" max="5" width="13.42578125" bestFit="1" customWidth="1"/>
    <col min="6" max="6" width="52.5703125" bestFit="1" customWidth="1"/>
    <col min="7" max="7" width="43.7109375" bestFit="1" customWidth="1"/>
    <col min="12" max="12" width="13.140625" customWidth="1"/>
  </cols>
  <sheetData>
    <row r="1" spans="1:13">
      <c r="A1" t="s">
        <v>12</v>
      </c>
      <c r="B1" s="7">
        <f>'Ипотечный калькулятор'!C8</f>
        <v>7000000</v>
      </c>
      <c r="E1" t="s">
        <v>584</v>
      </c>
      <c r="F1" s="1" t="s">
        <v>87</v>
      </c>
      <c r="G1" t="str">
        <f>'Ипотечный калькулятор'!C2</f>
        <v>Нет</v>
      </c>
      <c r="H1">
        <f>IF(G1="Нет",B18%,0)</f>
        <v>6.9999999999999993E-3</v>
      </c>
    </row>
    <row r="2" spans="1:13">
      <c r="A2" t="s">
        <v>86</v>
      </c>
      <c r="B2">
        <f>'Ипотечный калькулятор'!C12</f>
        <v>240</v>
      </c>
      <c r="E2" t="s">
        <v>585</v>
      </c>
      <c r="F2" s="1" t="str">
        <f>IF(AND(G18="ДаНет",B3&gt;69.9%),"У ИП КЗ дожен быть меньше 69,9%",
IF(AND(G1="Да",G16="дом",B3&gt;79.9%),"У ЗП при залоге ДОМ КЗ дожен быть меньше 79,9%",
IF(AND(G1="Нет",G16="дом",B3&gt;69.9%),"У Улицы при залоге ДОМ КЗ дожен быть меньше 69,9%",
IF(B3&gt;79.9%,"&gt;79,9%",IF(AND(B3&gt;69.9%,B3&lt;=79.9%),"&gt;69,9%, но &lt;=79,9%",IF(B3&lt;=69.9%,"&lt;=69,9%"))))))</f>
        <v>&lt;=69,9%</v>
      </c>
      <c r="H2" s="34"/>
      <c r="J2" s="30"/>
      <c r="K2" s="3"/>
      <c r="L2" s="28"/>
    </row>
    <row r="3" spans="1:13">
      <c r="A3" t="s">
        <v>585</v>
      </c>
      <c r="B3" s="3">
        <f>1-'Ипотечный калькулятор'!C14</f>
        <v>0.58299999999999996</v>
      </c>
      <c r="G3" t="s">
        <v>586</v>
      </c>
      <c r="H3" s="34">
        <f>L3</f>
        <v>0.28300000000000003</v>
      </c>
      <c r="J3" s="30">
        <f>$B$16+$I$18*100</f>
        <v>28.3</v>
      </c>
      <c r="K3" s="3">
        <f>J3</f>
        <v>28.3</v>
      </c>
      <c r="L3" s="28">
        <f>K3/100</f>
        <v>0.28300000000000003</v>
      </c>
    </row>
    <row r="4" spans="1:13">
      <c r="A4" t="s">
        <v>44</v>
      </c>
      <c r="B4">
        <f>'Ипотечный калькулятор'!C17</f>
        <v>0</v>
      </c>
      <c r="G4" t="s">
        <v>587</v>
      </c>
      <c r="H4" s="34">
        <f>L4</f>
        <v>0.28300000000000003</v>
      </c>
      <c r="J4" s="30">
        <f>$B$17+$I$18*100</f>
        <v>28.3</v>
      </c>
      <c r="K4" s="3">
        <f>J4</f>
        <v>28.3</v>
      </c>
      <c r="L4" s="28">
        <f>K4/100</f>
        <v>0.28300000000000003</v>
      </c>
    </row>
    <row r="5" spans="1:13">
      <c r="A5" t="s">
        <v>47</v>
      </c>
      <c r="H5" s="34"/>
      <c r="J5" s="30"/>
      <c r="K5" s="3"/>
      <c r="L5" s="28"/>
    </row>
    <row r="6" spans="1:13">
      <c r="A6" t="s">
        <v>48</v>
      </c>
      <c r="B6" s="4">
        <f>VLOOKUP($F$2,$G$2:$H$4,2,0)+VLOOKUP(F12,G12:H15,2,0)+$H$1+$H$16</f>
        <v>0.29000000000000004</v>
      </c>
      <c r="H6" s="34"/>
      <c r="J6" s="30"/>
      <c r="K6" s="3"/>
      <c r="L6" s="28"/>
    </row>
    <row r="7" spans="1:13">
      <c r="A7" t="s">
        <v>49</v>
      </c>
      <c r="B7" t="str">
        <f>'Ипотечный калькулятор'!C22</f>
        <v>Да</v>
      </c>
      <c r="H7" s="34"/>
      <c r="J7" s="30"/>
      <c r="K7" s="3"/>
      <c r="L7" s="28"/>
    </row>
    <row r="8" spans="1:13">
      <c r="A8" t="s">
        <v>50</v>
      </c>
      <c r="B8" t="str">
        <f>'Ипотечный калькулятор'!C23</f>
        <v>Да</v>
      </c>
      <c r="H8" s="34"/>
      <c r="J8" s="30"/>
      <c r="K8" s="3"/>
      <c r="L8" s="28"/>
    </row>
    <row r="9" spans="1:13">
      <c r="A9" t="s">
        <v>51</v>
      </c>
      <c r="H9" s="34"/>
      <c r="J9" s="30"/>
      <c r="K9" s="3"/>
      <c r="L9" s="28"/>
    </row>
    <row r="10" spans="1:13">
      <c r="A10" t="s">
        <v>88</v>
      </c>
      <c r="B10" s="7">
        <f>-PMT($B$6/12,$B$2,$B$1,0,0)</f>
        <v>169717.18651597371</v>
      </c>
      <c r="H10" s="34"/>
      <c r="J10" s="30"/>
      <c r="K10" s="3"/>
      <c r="L10" s="28"/>
    </row>
    <row r="11" spans="1:13">
      <c r="A11" t="s">
        <v>53</v>
      </c>
      <c r="B11" s="7">
        <f>B10*B2-B1</f>
        <v>33732124.763833687</v>
      </c>
      <c r="H11" s="2"/>
      <c r="K11" s="3"/>
      <c r="L11" s="35"/>
      <c r="M11" s="28"/>
    </row>
    <row r="12" spans="1:13">
      <c r="A12" t="s">
        <v>53</v>
      </c>
      <c r="F12" s="1" t="str">
        <f>B7&amp;B8</f>
        <v>ДаДа</v>
      </c>
      <c r="G12" t="s">
        <v>91</v>
      </c>
      <c r="H12" s="2">
        <v>0.05</v>
      </c>
      <c r="K12" s="3"/>
      <c r="L12" s="35"/>
      <c r="M12" s="28"/>
    </row>
    <row r="13" spans="1:13">
      <c r="G13" t="s">
        <v>92</v>
      </c>
      <c r="H13" s="2">
        <f>$B$21%</f>
        <v>5.0000000000000001E-3</v>
      </c>
      <c r="K13" s="3"/>
      <c r="L13" s="35"/>
      <c r="M13" s="28"/>
    </row>
    <row r="14" spans="1:13">
      <c r="G14" t="s">
        <v>93</v>
      </c>
      <c r="H14" s="2">
        <f>$B$22%</f>
        <v>5.0000000000000001E-3</v>
      </c>
    </row>
    <row r="15" spans="1:13" ht="15.75" thickBot="1">
      <c r="G15" t="s">
        <v>94</v>
      </c>
      <c r="H15" s="2">
        <v>0</v>
      </c>
    </row>
    <row r="16" spans="1:13" ht="24" thickBot="1">
      <c r="A16" s="54" t="s">
        <v>588</v>
      </c>
      <c r="B16" s="57">
        <v>28.3</v>
      </c>
      <c r="F16" t="s">
        <v>589</v>
      </c>
      <c r="G16" t="str">
        <f>'Ипотечный калькулятор'!C5</f>
        <v/>
      </c>
      <c r="H16" s="28">
        <f>IF(G16="дом",IF(B3&gt;69.9%,"КЗ больше 69.9%",$B$20%),0)</f>
        <v>0</v>
      </c>
    </row>
    <row r="17" spans="1:9" ht="23.25">
      <c r="A17" s="55" t="s">
        <v>590</v>
      </c>
      <c r="B17" s="57">
        <v>28.3</v>
      </c>
    </row>
    <row r="18" spans="1:9" ht="24" thickBot="1">
      <c r="A18" s="56" t="s">
        <v>566</v>
      </c>
      <c r="B18" s="59">
        <v>0.7</v>
      </c>
      <c r="F18" t="s">
        <v>583</v>
      </c>
      <c r="G18" t="str">
        <f>'Ипотечный калькулятор'!C3&amp;G1</f>
        <v>НетНет</v>
      </c>
      <c r="H18" s="2">
        <v>5.0000000000000001E-3</v>
      </c>
      <c r="I18">
        <f>IF(G18="ДаНет",H18,0)</f>
        <v>0</v>
      </c>
    </row>
    <row r="19" spans="1:9" ht="15.75" thickBot="1">
      <c r="F19" s="2"/>
    </row>
    <row r="20" spans="1:9" ht="24" thickBot="1">
      <c r="A20" s="54" t="s">
        <v>591</v>
      </c>
      <c r="B20" s="60">
        <v>0.5</v>
      </c>
      <c r="F20" s="2"/>
    </row>
    <row r="21" spans="1:9" ht="24" thickBot="1">
      <c r="A21" s="55" t="s">
        <v>576</v>
      </c>
      <c r="B21" s="60">
        <v>0.5</v>
      </c>
      <c r="F21" s="2"/>
    </row>
    <row r="22" spans="1:9" ht="24" thickBot="1">
      <c r="A22" s="56" t="s">
        <v>592</v>
      </c>
      <c r="B22" s="60">
        <v>0.5</v>
      </c>
      <c r="F22" s="2"/>
    </row>
    <row r="23" spans="1:9">
      <c r="F23" s="2"/>
    </row>
    <row r="24" spans="1:9">
      <c r="F24" s="2"/>
    </row>
    <row r="25" spans="1:9">
      <c r="F25" s="2"/>
    </row>
    <row r="26" spans="1:9">
      <c r="F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72CF4625221F46ACF355DFC57E33F3" ma:contentTypeVersion="2" ma:contentTypeDescription="Создание документа." ma:contentTypeScope="" ma:versionID="fba63f7639f37084796052c13e29607f">
  <xsd:schema xmlns:xsd="http://www.w3.org/2001/XMLSchema" xmlns:xs="http://www.w3.org/2001/XMLSchema" xmlns:p="http://schemas.microsoft.com/office/2006/metadata/properties" xmlns:ns2="e1fc98c4-de37-43cf-842a-f680dde818ad" targetNamespace="http://schemas.microsoft.com/office/2006/metadata/properties" ma:root="true" ma:fieldsID="7307701406e84259ba074ae657e21248" ns2:_="">
    <xsd:import namespace="e1fc98c4-de37-43cf-842a-f680dde818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c98c4-de37-43cf-842a-f680dde81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297A56-F610-4F26-B24C-4E954DE99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c98c4-de37-43cf-842a-f680dde81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C0742-3AC9-40CD-B6DB-BCB5C2B2E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C44613-B6B6-437D-9753-DDF8CDAE90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Платеж</vt:lpstr>
      <vt:lpstr>График платежей</vt:lpstr>
      <vt:lpstr>График платежей РАБОТОДАТЕЛЬ</vt:lpstr>
      <vt:lpstr>Ипотечный калькулятор</vt:lpstr>
      <vt:lpstr>Семейная ипотека</vt:lpstr>
      <vt:lpstr>Рефин (Семейная)</vt:lpstr>
      <vt:lpstr>Данные калькулятора</vt:lpstr>
      <vt:lpstr>Для автоматизации комментария </vt:lpstr>
      <vt:lpstr>ИТ</vt:lpstr>
      <vt:lpstr>Ипотека с господдержкой</vt:lpstr>
      <vt:lpstr>Новостройка</vt:lpstr>
      <vt:lpstr>Вторичный рынок</vt:lpstr>
      <vt:lpstr>Ипотека на покупку дома</vt:lpstr>
      <vt:lpstr>Рефинансирование</vt:lpstr>
      <vt:lpstr>Рефин с консолидацией и доп ден</vt:lpstr>
      <vt:lpstr>Коммерческая недвижимость</vt:lpstr>
      <vt:lpstr>Кредит под залог недвижимости</vt:lpstr>
      <vt:lpstr>Клиент</vt:lpstr>
      <vt:lpstr>Программа</vt:lpstr>
      <vt:lpstr>ТипНедв</vt:lpstr>
    </vt:vector>
  </TitlesOfParts>
  <Manager/>
  <Company>MTS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Череваткина Анастасия Евгеньевна</dc:creator>
  <cp:keywords/>
  <dc:description/>
  <cp:lastModifiedBy>Нечаев Тихон Романович</cp:lastModifiedBy>
  <cp:revision/>
  <dcterms:created xsi:type="dcterms:W3CDTF">2020-09-06T12:01:02Z</dcterms:created>
  <dcterms:modified xsi:type="dcterms:W3CDTF">2024-11-15T09:22:10Z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0x0101006C72CF4625221F46ACF355DFC57E33F3</vt:lpwstr>
  </property>
</Properties>
</file>